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R2017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  <sheet name="Príjmy viacročný" sheetId="12" r:id="rId4"/>
    <sheet name="Výdavky viacročný" sheetId="13" r:id="rId5"/>
    <sheet name="Sumarizácia viacročná" sheetId="14" r:id="rId6"/>
  </sheets>
  <definedNames>
    <definedName name="_xlnm.Print_Area" localSheetId="0">Príjmy!$B$2:$L$643</definedName>
    <definedName name="_xlnm.Print_Area" localSheetId="3">'Príjmy viacročný'!$B$2:$L$158</definedName>
    <definedName name="_xlnm.Print_Area" localSheetId="2">Sumarizácia!$B$2:$R$47</definedName>
    <definedName name="_xlnm.Print_Area" localSheetId="5">'Sumarizácia viacročná'!$B$2:$L$37</definedName>
    <definedName name="_xlnm.Print_Area" localSheetId="1">Výdavky!$B$2:$T$2589</definedName>
    <definedName name="_xlnm.Print_Area" localSheetId="4">'Výdavky viacročný'!$B$4:$Q$223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98" i="2" l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T1308" i="2"/>
  <c r="B887" i="2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205" i="2" l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N892" i="2"/>
  <c r="T896" i="2"/>
  <c r="R895" i="2"/>
  <c r="N895" i="2"/>
  <c r="T895" i="2" s="1"/>
  <c r="N2002" i="2"/>
  <c r="N2183" i="2"/>
  <c r="N2184" i="2"/>
  <c r="N2103" i="2"/>
  <c r="N603" i="2"/>
  <c r="I1962" i="2"/>
  <c r="I587" i="2"/>
  <c r="I2085" i="2"/>
  <c r="I2081" i="2" s="1"/>
  <c r="N2101" i="2"/>
  <c r="N27" i="3" l="1"/>
  <c r="N1203" i="2"/>
  <c r="N1141" i="2"/>
  <c r="T754" i="2" l="1"/>
  <c r="N368" i="2"/>
  <c r="T592" i="2"/>
  <c r="N1306" i="2"/>
  <c r="N1305" i="2" s="1"/>
  <c r="I1067" i="2"/>
  <c r="I831" i="2"/>
  <c r="L52" i="1" l="1"/>
  <c r="K52" i="1"/>
  <c r="J52" i="1"/>
  <c r="I52" i="1"/>
  <c r="K5" i="14" l="1"/>
  <c r="H5" i="14" l="1"/>
  <c r="O202" i="13" l="1"/>
  <c r="L16" i="12"/>
  <c r="T756" i="2"/>
  <c r="H29" i="12"/>
  <c r="H31" i="1"/>
  <c r="N660" i="2" l="1"/>
  <c r="T628" i="2"/>
  <c r="O221" i="13" l="1"/>
  <c r="L29" i="12"/>
  <c r="J29" i="12"/>
  <c r="F30" i="14" l="1"/>
  <c r="F31" i="14"/>
  <c r="F32" i="14"/>
  <c r="F33" i="14"/>
  <c r="F34" i="14"/>
  <c r="F29" i="14"/>
  <c r="F27" i="14"/>
  <c r="F26" i="14"/>
  <c r="F25" i="14"/>
  <c r="F24" i="14"/>
  <c r="L28" i="14" l="1"/>
  <c r="I28" i="14"/>
  <c r="F28" i="14"/>
  <c r="F23" i="14"/>
  <c r="B24" i="14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L23" i="14"/>
  <c r="I23" i="14"/>
  <c r="Q220" i="13"/>
  <c r="O220" i="13"/>
  <c r="K177" i="13"/>
  <c r="K146" i="13" l="1"/>
  <c r="K127" i="13"/>
  <c r="K89" i="13"/>
  <c r="K58" i="13"/>
  <c r="M19" i="13"/>
  <c r="M20" i="13"/>
  <c r="M21" i="13"/>
  <c r="T83" i="2"/>
  <c r="T82" i="2"/>
  <c r="T81" i="2"/>
  <c r="T2589" i="2"/>
  <c r="T2588" i="2"/>
  <c r="T2587" i="2"/>
  <c r="T2585" i="2"/>
  <c r="T2582" i="2"/>
  <c r="T2580" i="2"/>
  <c r="T2579" i="2"/>
  <c r="T2578" i="2"/>
  <c r="T2577" i="2"/>
  <c r="T2575" i="2"/>
  <c r="T2574" i="2"/>
  <c r="T2569" i="2"/>
  <c r="T2567" i="2"/>
  <c r="T2566" i="2"/>
  <c r="T2541" i="2"/>
  <c r="T2540" i="2"/>
  <c r="T2539" i="2"/>
  <c r="T2538" i="2"/>
  <c r="T2537" i="2"/>
  <c r="T2536" i="2"/>
  <c r="T2535" i="2"/>
  <c r="T2534" i="2"/>
  <c r="T2532" i="2"/>
  <c r="T2531" i="2"/>
  <c r="T2527" i="2"/>
  <c r="T2526" i="2"/>
  <c r="T2525" i="2"/>
  <c r="T2524" i="2"/>
  <c r="T2523" i="2"/>
  <c r="T2521" i="2"/>
  <c r="T2520" i="2"/>
  <c r="T2516" i="2"/>
  <c r="T2514" i="2"/>
  <c r="T2508" i="2"/>
  <c r="T2502" i="2"/>
  <c r="T2501" i="2"/>
  <c r="T2500" i="2"/>
  <c r="T2499" i="2"/>
  <c r="T2498" i="2"/>
  <c r="T2497" i="2"/>
  <c r="T2496" i="2"/>
  <c r="T2495" i="2"/>
  <c r="T2493" i="2"/>
  <c r="T2492" i="2"/>
  <c r="T2489" i="2"/>
  <c r="T2488" i="2"/>
  <c r="T2487" i="2"/>
  <c r="T2486" i="2"/>
  <c r="T2485" i="2"/>
  <c r="T2484" i="2"/>
  <c r="T2483" i="2"/>
  <c r="T2482" i="2"/>
  <c r="T2481" i="2"/>
  <c r="T2479" i="2"/>
  <c r="T2478" i="2"/>
  <c r="T2475" i="2"/>
  <c r="T2473" i="2"/>
  <c r="T2471" i="2"/>
  <c r="T2470" i="2"/>
  <c r="T2467" i="2"/>
  <c r="T2466" i="2"/>
  <c r="T2465" i="2"/>
  <c r="T2464" i="2"/>
  <c r="T2460" i="2"/>
  <c r="T2459" i="2"/>
  <c r="T2458" i="2"/>
  <c r="T2453" i="2"/>
  <c r="T2452" i="2"/>
  <c r="T2451" i="2"/>
  <c r="T2450" i="2"/>
  <c r="T2449" i="2"/>
  <c r="T2448" i="2"/>
  <c r="T2447" i="2"/>
  <c r="T2446" i="2"/>
  <c r="T2445" i="2"/>
  <c r="T2444" i="2"/>
  <c r="T2438" i="2"/>
  <c r="T2433" i="2"/>
  <c r="T2432" i="2"/>
  <c r="T2431" i="2"/>
  <c r="T2428" i="2"/>
  <c r="T2427" i="2"/>
  <c r="T2426" i="2"/>
  <c r="T2419" i="2"/>
  <c r="T2418" i="2"/>
  <c r="T2417" i="2"/>
  <c r="T2416" i="2"/>
  <c r="T2414" i="2"/>
  <c r="T2413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2" i="2"/>
  <c r="T2391" i="2"/>
  <c r="T2390" i="2"/>
  <c r="T2383" i="2"/>
  <c r="T2377" i="2"/>
  <c r="T2374" i="2"/>
  <c r="T2373" i="2"/>
  <c r="T2372" i="2"/>
  <c r="T2371" i="2"/>
  <c r="T2370" i="2"/>
  <c r="T2367" i="2"/>
  <c r="T2303" i="2"/>
  <c r="T2302" i="2"/>
  <c r="T2301" i="2"/>
  <c r="T2300" i="2"/>
  <c r="T2299" i="2"/>
  <c r="T2298" i="2"/>
  <c r="T2297" i="2"/>
  <c r="T2291" i="2"/>
  <c r="T2290" i="2"/>
  <c r="T2285" i="2"/>
  <c r="T2284" i="2"/>
  <c r="T2283" i="2"/>
  <c r="T2282" i="2"/>
  <c r="T2281" i="2"/>
  <c r="T2280" i="2"/>
  <c r="T2278" i="2"/>
  <c r="T2277" i="2"/>
  <c r="T2270" i="2"/>
  <c r="T2263" i="2"/>
  <c r="T2262" i="2"/>
  <c r="T2261" i="2"/>
  <c r="T2258" i="2"/>
  <c r="T2256" i="2"/>
  <c r="T2254" i="2"/>
  <c r="T2252" i="2"/>
  <c r="T2251" i="2"/>
  <c r="T2245" i="2"/>
  <c r="T2244" i="2"/>
  <c r="T2243" i="2"/>
  <c r="T2240" i="2"/>
  <c r="T2235" i="2"/>
  <c r="T2234" i="2"/>
  <c r="T2233" i="2"/>
  <c r="T2232" i="2"/>
  <c r="T2226" i="2"/>
  <c r="T2225" i="2"/>
  <c r="T2224" i="2"/>
  <c r="T2222" i="2"/>
  <c r="T2221" i="2"/>
  <c r="T2219" i="2"/>
  <c r="T2218" i="2"/>
  <c r="T2217" i="2"/>
  <c r="T2216" i="2"/>
  <c r="T2215" i="2"/>
  <c r="T2214" i="2"/>
  <c r="T2213" i="2"/>
  <c r="T2212" i="2"/>
  <c r="T2211" i="2"/>
  <c r="T2209" i="2"/>
  <c r="T2208" i="2"/>
  <c r="T2207" i="2"/>
  <c r="T2206" i="2"/>
  <c r="T2205" i="2"/>
  <c r="T2204" i="2"/>
  <c r="T2203" i="2"/>
  <c r="T2202" i="2"/>
  <c r="T2201" i="2"/>
  <c r="T2199" i="2"/>
  <c r="T2198" i="2"/>
  <c r="T2195" i="2"/>
  <c r="T2194" i="2"/>
  <c r="T2193" i="2"/>
  <c r="T2192" i="2"/>
  <c r="T2191" i="2"/>
  <c r="T2190" i="2"/>
  <c r="T2189" i="2"/>
  <c r="T2188" i="2"/>
  <c r="T2185" i="2"/>
  <c r="T2184" i="2"/>
  <c r="T2183" i="2"/>
  <c r="T2182" i="2"/>
  <c r="T2181" i="2"/>
  <c r="T2179" i="2"/>
  <c r="T2115" i="2"/>
  <c r="T2114" i="2"/>
  <c r="T2113" i="2"/>
  <c r="T2112" i="2"/>
  <c r="T2111" i="2"/>
  <c r="T2110" i="2"/>
  <c r="T2106" i="2"/>
  <c r="T2104" i="2"/>
  <c r="T2102" i="2"/>
  <c r="T2099" i="2"/>
  <c r="T2098" i="2"/>
  <c r="T2097" i="2"/>
  <c r="T2096" i="2"/>
  <c r="T2095" i="2"/>
  <c r="T2094" i="2"/>
  <c r="T2092" i="2"/>
  <c r="T2087" i="2"/>
  <c r="T2086" i="2"/>
  <c r="T2085" i="2"/>
  <c r="T2084" i="2"/>
  <c r="T2083" i="2"/>
  <c r="T2082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20" i="2"/>
  <c r="T2017" i="2"/>
  <c r="T2016" i="2"/>
  <c r="T2015" i="2"/>
  <c r="T2014" i="2"/>
  <c r="T2013" i="2"/>
  <c r="T2012" i="2"/>
  <c r="T2011" i="2"/>
  <c r="T2010" i="2"/>
  <c r="T2008" i="2"/>
  <c r="T2002" i="2"/>
  <c r="T2001" i="2"/>
  <c r="T2000" i="2"/>
  <c r="T1999" i="2"/>
  <c r="T1997" i="2"/>
  <c r="T1995" i="2"/>
  <c r="T1994" i="2"/>
  <c r="T1993" i="2"/>
  <c r="T1992" i="2"/>
  <c r="T1991" i="2"/>
  <c r="T1985" i="2"/>
  <c r="T1983" i="2"/>
  <c r="T1982" i="2"/>
  <c r="T1981" i="2"/>
  <c r="T1979" i="2"/>
  <c r="T1978" i="2"/>
  <c r="T1972" i="2"/>
  <c r="T1971" i="2"/>
  <c r="T1970" i="2"/>
  <c r="T1968" i="2"/>
  <c r="T1967" i="2"/>
  <c r="T1966" i="2"/>
  <c r="T1965" i="2"/>
  <c r="T1964" i="2"/>
  <c r="T1963" i="2"/>
  <c r="T1961" i="2"/>
  <c r="T1960" i="2"/>
  <c r="T1958" i="2"/>
  <c r="T1957" i="2"/>
  <c r="T1955" i="2"/>
  <c r="T1954" i="2"/>
  <c r="T1952" i="2"/>
  <c r="T1951" i="2"/>
  <c r="T1948" i="2"/>
  <c r="T1947" i="2"/>
  <c r="T1946" i="2"/>
  <c r="T1941" i="2"/>
  <c r="T1940" i="2"/>
  <c r="T1939" i="2"/>
  <c r="T1938" i="2"/>
  <c r="T1937" i="2"/>
  <c r="T1936" i="2"/>
  <c r="T1934" i="2"/>
  <c r="T1933" i="2"/>
  <c r="T1931" i="2"/>
  <c r="T1930" i="2"/>
  <c r="T1929" i="2"/>
  <c r="T1928" i="2"/>
  <c r="T1926" i="2"/>
  <c r="T1925" i="2"/>
  <c r="T1924" i="2"/>
  <c r="T1921" i="2"/>
  <c r="T1916" i="2"/>
  <c r="T1915" i="2"/>
  <c r="T1914" i="2"/>
  <c r="T1913" i="2"/>
  <c r="T1911" i="2"/>
  <c r="T1908" i="2"/>
  <c r="T1907" i="2"/>
  <c r="T1905" i="2"/>
  <c r="T1904" i="2"/>
  <c r="T1903" i="2"/>
  <c r="T1902" i="2"/>
  <c r="T1898" i="2"/>
  <c r="T1896" i="2"/>
  <c r="T1895" i="2"/>
  <c r="T1889" i="2"/>
  <c r="T1888" i="2"/>
  <c r="T1887" i="2"/>
  <c r="T1886" i="2"/>
  <c r="T1885" i="2"/>
  <c r="T1884" i="2"/>
  <c r="T1883" i="2"/>
  <c r="T1882" i="2"/>
  <c r="T1881" i="2"/>
  <c r="T1880" i="2"/>
  <c r="T1879" i="2"/>
  <c r="T1869" i="2"/>
  <c r="T1868" i="2"/>
  <c r="T1866" i="2"/>
  <c r="T1806" i="2"/>
  <c r="T1805" i="2"/>
  <c r="T1804" i="2"/>
  <c r="T1803" i="2"/>
  <c r="T1802" i="2"/>
  <c r="T1801" i="2"/>
  <c r="T1800" i="2"/>
  <c r="T1799" i="2"/>
  <c r="T1797" i="2"/>
  <c r="T1796" i="2"/>
  <c r="T1793" i="2"/>
  <c r="T1791" i="2"/>
  <c r="T1789" i="2"/>
  <c r="T1788" i="2"/>
  <c r="T1787" i="2"/>
  <c r="T1786" i="2"/>
  <c r="T1785" i="2"/>
  <c r="T1784" i="2"/>
  <c r="T1783" i="2"/>
  <c r="T1782" i="2"/>
  <c r="T1780" i="2"/>
  <c r="T1779" i="2"/>
  <c r="T1778" i="2"/>
  <c r="T1776" i="2"/>
  <c r="T1773" i="2"/>
  <c r="T1772" i="2"/>
  <c r="T1770" i="2"/>
  <c r="T1769" i="2"/>
  <c r="T1768" i="2"/>
  <c r="T1767" i="2"/>
  <c r="T1766" i="2"/>
  <c r="T1765" i="2"/>
  <c r="T1764" i="2"/>
  <c r="T1763" i="2"/>
  <c r="T1761" i="2"/>
  <c r="T1760" i="2"/>
  <c r="T1759" i="2"/>
  <c r="T1758" i="2"/>
  <c r="T1757" i="2"/>
  <c r="T1756" i="2"/>
  <c r="T1755" i="2"/>
  <c r="T1754" i="2"/>
  <c r="T1753" i="2"/>
  <c r="T1752" i="2"/>
  <c r="T1750" i="2"/>
  <c r="T1749" i="2"/>
  <c r="T1746" i="2"/>
  <c r="T1744" i="2"/>
  <c r="T1743" i="2"/>
  <c r="T1741" i="2"/>
  <c r="T1740" i="2"/>
  <c r="T1739" i="2"/>
  <c r="T1738" i="2"/>
  <c r="T1737" i="2"/>
  <c r="T1736" i="2"/>
  <c r="T1732" i="2"/>
  <c r="T1731" i="2"/>
  <c r="T1730" i="2"/>
  <c r="T1729" i="2"/>
  <c r="T1728" i="2"/>
  <c r="T1727" i="2"/>
  <c r="T1721" i="2"/>
  <c r="T1720" i="2"/>
  <c r="T1719" i="2"/>
  <c r="T1718" i="2"/>
  <c r="T1717" i="2"/>
  <c r="T1716" i="2"/>
  <c r="T1715" i="2"/>
  <c r="T1714" i="2"/>
  <c r="T1712" i="2"/>
  <c r="T1711" i="2"/>
  <c r="T1710" i="2"/>
  <c r="T1709" i="2"/>
  <c r="T1708" i="2"/>
  <c r="T1707" i="2"/>
  <c r="T1706" i="2"/>
  <c r="T1705" i="2"/>
  <c r="T1703" i="2"/>
  <c r="T1702" i="2"/>
  <c r="T1699" i="2"/>
  <c r="T1698" i="2"/>
  <c r="T1697" i="2"/>
  <c r="T1696" i="2"/>
  <c r="T1695" i="2"/>
  <c r="T1694" i="2"/>
  <c r="T1693" i="2"/>
  <c r="T1689" i="2"/>
  <c r="T1688" i="2"/>
  <c r="T1687" i="2"/>
  <c r="T1686" i="2"/>
  <c r="T1685" i="2"/>
  <c r="T1679" i="2"/>
  <c r="T1678" i="2"/>
  <c r="T1677" i="2"/>
  <c r="T1676" i="2"/>
  <c r="T1675" i="2"/>
  <c r="T1671" i="2"/>
  <c r="T1670" i="2"/>
  <c r="T1669" i="2"/>
  <c r="T1668" i="2"/>
  <c r="T1667" i="2"/>
  <c r="T1666" i="2"/>
  <c r="T1660" i="2"/>
  <c r="T1659" i="2"/>
  <c r="T1652" i="2"/>
  <c r="T1651" i="2"/>
  <c r="T1650" i="2"/>
  <c r="T1649" i="2"/>
  <c r="T1648" i="2"/>
  <c r="T1644" i="2"/>
  <c r="T1643" i="2"/>
  <c r="T1642" i="2"/>
  <c r="T1641" i="2"/>
  <c r="T1640" i="2"/>
  <c r="T1634" i="2"/>
  <c r="T1633" i="2"/>
  <c r="T1632" i="2"/>
  <c r="T1631" i="2"/>
  <c r="T1630" i="2"/>
  <c r="T1629" i="2"/>
  <c r="T1628" i="2"/>
  <c r="T1624" i="2"/>
  <c r="T1623" i="2"/>
  <c r="T1622" i="2"/>
  <c r="T1621" i="2"/>
  <c r="T1620" i="2"/>
  <c r="T1614" i="2"/>
  <c r="T1613" i="2"/>
  <c r="T1612" i="2"/>
  <c r="T1611" i="2"/>
  <c r="T1610" i="2"/>
  <c r="T1609" i="2"/>
  <c r="T1608" i="2"/>
  <c r="T1607" i="2"/>
  <c r="T1602" i="2"/>
  <c r="T1601" i="2"/>
  <c r="T1600" i="2"/>
  <c r="T1599" i="2"/>
  <c r="T1598" i="2"/>
  <c r="T1597" i="2"/>
  <c r="T1592" i="2"/>
  <c r="T1591" i="2"/>
  <c r="T1590" i="2"/>
  <c r="T1589" i="2"/>
  <c r="T1587" i="2"/>
  <c r="T1586" i="2"/>
  <c r="T1584" i="2"/>
  <c r="T1583" i="2"/>
  <c r="T1582" i="2"/>
  <c r="T1581" i="2"/>
  <c r="T1580" i="2"/>
  <c r="T1575" i="2"/>
  <c r="T1574" i="2"/>
  <c r="T1573" i="2"/>
  <c r="T1572" i="2"/>
  <c r="T1571" i="2"/>
  <c r="T1566" i="2"/>
  <c r="T1564" i="2"/>
  <c r="T1563" i="2"/>
  <c r="T1562" i="2"/>
  <c r="T1561" i="2"/>
  <c r="T1556" i="2"/>
  <c r="T1555" i="2"/>
  <c r="T1554" i="2"/>
  <c r="T1553" i="2"/>
  <c r="T1552" i="2"/>
  <c r="T1551" i="2"/>
  <c r="T1546" i="2"/>
  <c r="T1545" i="2"/>
  <c r="T1544" i="2"/>
  <c r="T1543" i="2"/>
  <c r="T1542" i="2"/>
  <c r="T1541" i="2"/>
  <c r="T1540" i="2"/>
  <c r="T1535" i="2"/>
  <c r="T1534" i="2"/>
  <c r="T1533" i="2"/>
  <c r="T1532" i="2"/>
  <c r="T1531" i="2"/>
  <c r="T1530" i="2"/>
  <c r="T1525" i="2"/>
  <c r="T1524" i="2"/>
  <c r="T1523" i="2"/>
  <c r="T1522" i="2"/>
  <c r="T1521" i="2"/>
  <c r="T1520" i="2"/>
  <c r="T1515" i="2"/>
  <c r="T1514" i="2"/>
  <c r="T1513" i="2"/>
  <c r="T1508" i="2"/>
  <c r="T1507" i="2"/>
  <c r="T1506" i="2"/>
  <c r="T1505" i="2"/>
  <c r="T1500" i="2"/>
  <c r="T1499" i="2"/>
  <c r="T1498" i="2"/>
  <c r="T1497" i="2"/>
  <c r="T1496" i="2"/>
  <c r="T1495" i="2"/>
  <c r="T1490" i="2"/>
  <c r="T1489" i="2"/>
  <c r="T1488" i="2"/>
  <c r="T1487" i="2"/>
  <c r="T1486" i="2"/>
  <c r="T1485" i="2"/>
  <c r="T1479" i="2"/>
  <c r="T1478" i="2"/>
  <c r="T1477" i="2"/>
  <c r="T1476" i="2"/>
  <c r="T1475" i="2"/>
  <c r="T1474" i="2"/>
  <c r="T1473" i="2"/>
  <c r="T1472" i="2"/>
  <c r="T1469" i="2"/>
  <c r="T1468" i="2"/>
  <c r="T1467" i="2"/>
  <c r="T1465" i="2"/>
  <c r="T1464" i="2"/>
  <c r="T1463" i="2"/>
  <c r="T1462" i="2"/>
  <c r="T1461" i="2"/>
  <c r="T1460" i="2"/>
  <c r="T1459" i="2"/>
  <c r="T1457" i="2"/>
  <c r="T1456" i="2"/>
  <c r="T1453" i="2"/>
  <c r="T1452" i="2"/>
  <c r="T1451" i="2"/>
  <c r="T1450" i="2"/>
  <c r="T1448" i="2"/>
  <c r="T1447" i="2"/>
  <c r="T1444" i="2"/>
  <c r="T1443" i="2"/>
  <c r="T1442" i="2"/>
  <c r="T1441" i="2"/>
  <c r="T1439" i="2"/>
  <c r="T1438" i="2"/>
  <c r="T1435" i="2"/>
  <c r="T1434" i="2"/>
  <c r="T1433" i="2"/>
  <c r="T1432" i="2"/>
  <c r="T1430" i="2"/>
  <c r="T1429" i="2"/>
  <c r="T1426" i="2"/>
  <c r="T1425" i="2"/>
  <c r="T1424" i="2"/>
  <c r="T1423" i="2"/>
  <c r="T1421" i="2"/>
  <c r="T1420" i="2"/>
  <c r="T1417" i="2"/>
  <c r="T1416" i="2"/>
  <c r="T1415" i="2"/>
  <c r="T1414" i="2"/>
  <c r="T1412" i="2"/>
  <c r="T1411" i="2"/>
  <c r="T1408" i="2"/>
  <c r="T1407" i="2"/>
  <c r="T1406" i="2"/>
  <c r="T1405" i="2"/>
  <c r="T1403" i="2"/>
  <c r="T1402" i="2"/>
  <c r="T1399" i="2"/>
  <c r="T1398" i="2"/>
  <c r="T1397" i="2"/>
  <c r="T1396" i="2"/>
  <c r="T1394" i="2"/>
  <c r="T1393" i="2"/>
  <c r="T1390" i="2"/>
  <c r="T1389" i="2"/>
  <c r="T1388" i="2"/>
  <c r="T1387" i="2"/>
  <c r="T1385" i="2"/>
  <c r="T1384" i="2"/>
  <c r="T1381" i="2"/>
  <c r="T1380" i="2"/>
  <c r="T1379" i="2"/>
  <c r="T1377" i="2"/>
  <c r="T1376" i="2"/>
  <c r="T1373" i="2"/>
  <c r="T1372" i="2"/>
  <c r="T1371" i="2"/>
  <c r="T1370" i="2"/>
  <c r="T1369" i="2"/>
  <c r="T1368" i="2"/>
  <c r="T1367" i="2"/>
  <c r="T1365" i="2"/>
  <c r="T1364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7" i="2"/>
  <c r="T1346" i="2"/>
  <c r="T1339" i="2"/>
  <c r="T1338" i="2"/>
  <c r="T1336" i="2"/>
  <c r="T1335" i="2"/>
  <c r="T1334" i="2"/>
  <c r="T1332" i="2"/>
  <c r="T1331" i="2"/>
  <c r="T1329" i="2"/>
  <c r="T1328" i="2"/>
  <c r="T1327" i="2"/>
  <c r="T1326" i="2"/>
  <c r="T1325" i="2"/>
  <c r="T1324" i="2"/>
  <c r="T1323" i="2"/>
  <c r="T1321" i="2"/>
  <c r="T1320" i="2"/>
  <c r="T1319" i="2"/>
  <c r="T1318" i="2"/>
  <c r="T1317" i="2"/>
  <c r="T1316" i="2"/>
  <c r="T1315" i="2"/>
  <c r="T1314" i="2"/>
  <c r="T1312" i="2"/>
  <c r="T1311" i="2"/>
  <c r="T1307" i="2"/>
  <c r="T1306" i="2"/>
  <c r="T1305" i="2"/>
  <c r="T1304" i="2"/>
  <c r="T1303" i="2"/>
  <c r="T1301" i="2"/>
  <c r="T1300" i="2"/>
  <c r="T1299" i="2"/>
  <c r="T1298" i="2"/>
  <c r="T1297" i="2"/>
  <c r="T1296" i="2"/>
  <c r="T1295" i="2"/>
  <c r="T1294" i="2"/>
  <c r="T1293" i="2"/>
  <c r="T1291" i="2"/>
  <c r="T1290" i="2"/>
  <c r="T1289" i="2"/>
  <c r="T1288" i="2"/>
  <c r="T1287" i="2"/>
  <c r="T1286" i="2"/>
  <c r="T1285" i="2"/>
  <c r="T1284" i="2"/>
  <c r="T1283" i="2"/>
  <c r="T1282" i="2"/>
  <c r="T1280" i="2"/>
  <c r="T1279" i="2"/>
  <c r="T1276" i="2"/>
  <c r="T1275" i="2"/>
  <c r="T1273" i="2"/>
  <c r="T1272" i="2"/>
  <c r="T1271" i="2"/>
  <c r="T1269" i="2"/>
  <c r="T1268" i="2"/>
  <c r="T1267" i="2"/>
  <c r="T1265" i="2"/>
  <c r="T1264" i="2"/>
  <c r="T1263" i="2"/>
  <c r="T1262" i="2"/>
  <c r="T1261" i="2"/>
  <c r="T1260" i="2"/>
  <c r="T1259" i="2"/>
  <c r="T1258" i="2"/>
  <c r="T1256" i="2"/>
  <c r="T1255" i="2"/>
  <c r="T1254" i="2"/>
  <c r="T1253" i="2"/>
  <c r="T1252" i="2"/>
  <c r="T1251" i="2"/>
  <c r="T1250" i="2"/>
  <c r="T1249" i="2"/>
  <c r="T1248" i="2"/>
  <c r="T1246" i="2"/>
  <c r="T1245" i="2"/>
  <c r="T1242" i="2"/>
  <c r="T1241" i="2"/>
  <c r="T1240" i="2"/>
  <c r="T1239" i="2"/>
  <c r="T1238" i="2"/>
  <c r="T1235" i="2"/>
  <c r="T1234" i="2"/>
  <c r="T1233" i="2"/>
  <c r="T1231" i="2"/>
  <c r="T1229" i="2"/>
  <c r="T1228" i="2"/>
  <c r="T1226" i="2"/>
  <c r="T1225" i="2"/>
  <c r="T1224" i="2"/>
  <c r="T1223" i="2"/>
  <c r="T1222" i="2"/>
  <c r="T1221" i="2"/>
  <c r="T1220" i="2"/>
  <c r="T1218" i="2"/>
  <c r="T1217" i="2"/>
  <c r="T1216" i="2"/>
  <c r="T1215" i="2"/>
  <c r="T1214" i="2"/>
  <c r="T1213" i="2"/>
  <c r="T1212" i="2"/>
  <c r="T1211" i="2"/>
  <c r="T1210" i="2"/>
  <c r="T1208" i="2"/>
  <c r="T1207" i="2"/>
  <c r="T1204" i="2"/>
  <c r="T1203" i="2"/>
  <c r="T1202" i="2"/>
  <c r="T1200" i="2"/>
  <c r="T1199" i="2"/>
  <c r="T1197" i="2"/>
  <c r="T1196" i="2"/>
  <c r="T1194" i="2"/>
  <c r="T1193" i="2"/>
  <c r="T1192" i="2"/>
  <c r="T1191" i="2"/>
  <c r="T1190" i="2"/>
  <c r="T1189" i="2"/>
  <c r="T1188" i="2"/>
  <c r="T1186" i="2"/>
  <c r="T1185" i="2"/>
  <c r="T1184" i="2"/>
  <c r="T1183" i="2"/>
  <c r="T1182" i="2"/>
  <c r="T1181" i="2"/>
  <c r="T1180" i="2"/>
  <c r="T1179" i="2"/>
  <c r="T1177" i="2"/>
  <c r="T1176" i="2"/>
  <c r="T1173" i="2"/>
  <c r="T1172" i="2"/>
  <c r="T1171" i="2"/>
  <c r="T1169" i="2"/>
  <c r="T1168" i="2"/>
  <c r="T1167" i="2"/>
  <c r="T1166" i="2"/>
  <c r="T1165" i="2"/>
  <c r="T1164" i="2"/>
  <c r="T1163" i="2"/>
  <c r="T1162" i="2"/>
  <c r="T1160" i="2"/>
  <c r="T1159" i="2"/>
  <c r="T1158" i="2"/>
  <c r="T1157" i="2"/>
  <c r="T1156" i="2"/>
  <c r="T1155" i="2"/>
  <c r="T1154" i="2"/>
  <c r="T1153" i="2"/>
  <c r="T1152" i="2"/>
  <c r="T1150" i="2"/>
  <c r="T1149" i="2"/>
  <c r="T1146" i="2"/>
  <c r="T1145" i="2"/>
  <c r="T1143" i="2"/>
  <c r="T1142" i="2"/>
  <c r="T1141" i="2"/>
  <c r="T1140" i="2"/>
  <c r="T1138" i="2"/>
  <c r="T1137" i="2"/>
  <c r="T1135" i="2"/>
  <c r="T1134" i="2"/>
  <c r="T1133" i="2"/>
  <c r="T1132" i="2"/>
  <c r="T1131" i="2"/>
  <c r="T1130" i="2"/>
  <c r="T1128" i="2"/>
  <c r="T1127" i="2"/>
  <c r="T1126" i="2"/>
  <c r="T1125" i="2"/>
  <c r="T1124" i="2"/>
  <c r="T1123" i="2"/>
  <c r="T1122" i="2"/>
  <c r="T1121" i="2"/>
  <c r="T1119" i="2"/>
  <c r="T1118" i="2"/>
  <c r="T1115" i="2"/>
  <c r="T1114" i="2"/>
  <c r="T1112" i="2"/>
  <c r="T1111" i="2"/>
  <c r="T1109" i="2"/>
  <c r="T1108" i="2"/>
  <c r="T1107" i="2"/>
  <c r="T1106" i="2"/>
  <c r="T1104" i="2"/>
  <c r="T1103" i="2"/>
  <c r="T1102" i="2"/>
  <c r="T1101" i="2"/>
  <c r="T1099" i="2"/>
  <c r="T1098" i="2"/>
  <c r="T1097" i="2"/>
  <c r="T1096" i="2"/>
  <c r="T1094" i="2"/>
  <c r="T1093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2" i="2"/>
  <c r="T1071" i="2"/>
  <c r="T1070" i="2"/>
  <c r="T1069" i="2"/>
  <c r="T1068" i="2"/>
  <c r="T1067" i="2"/>
  <c r="T1066" i="2"/>
  <c r="T1064" i="2"/>
  <c r="T1063" i="2"/>
  <c r="T1062" i="2"/>
  <c r="T1060" i="2"/>
  <c r="T1059" i="2"/>
  <c r="T1058" i="2"/>
  <c r="T1057" i="2"/>
  <c r="T1056" i="2"/>
  <c r="T1055" i="2"/>
  <c r="T1054" i="2"/>
  <c r="T1053" i="2"/>
  <c r="T1052" i="2"/>
  <c r="T1051" i="2"/>
  <c r="T1046" i="2"/>
  <c r="T1043" i="2"/>
  <c r="T1042" i="2"/>
  <c r="T1041" i="2"/>
  <c r="T1040" i="2"/>
  <c r="T1039" i="2"/>
  <c r="T1038" i="2"/>
  <c r="T1037" i="2"/>
  <c r="T1032" i="2"/>
  <c r="T1031" i="2"/>
  <c r="T1030" i="2"/>
  <c r="T1029" i="2"/>
  <c r="T1028" i="2"/>
  <c r="T1027" i="2"/>
  <c r="T1026" i="2"/>
  <c r="T1025" i="2"/>
  <c r="T1024" i="2"/>
  <c r="T1019" i="2"/>
  <c r="T1018" i="2"/>
  <c r="T1017" i="2"/>
  <c r="T1016" i="2"/>
  <c r="T1015" i="2"/>
  <c r="T1014" i="2"/>
  <c r="T1013" i="2"/>
  <c r="T1012" i="2"/>
  <c r="T1011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89" i="2"/>
  <c r="T988" i="2"/>
  <c r="T986" i="2"/>
  <c r="T985" i="2"/>
  <c r="T983" i="2"/>
  <c r="T982" i="2"/>
  <c r="T981" i="2"/>
  <c r="T980" i="2"/>
  <c r="T979" i="2"/>
  <c r="T978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38" i="2"/>
  <c r="T937" i="2"/>
  <c r="T936" i="2"/>
  <c r="T935" i="2"/>
  <c r="T934" i="2"/>
  <c r="T933" i="2"/>
  <c r="T932" i="2"/>
  <c r="T931" i="2"/>
  <c r="T930" i="2"/>
  <c r="T929" i="2"/>
  <c r="T928" i="2"/>
  <c r="T923" i="2"/>
  <c r="T922" i="2"/>
  <c r="T921" i="2"/>
  <c r="T919" i="2"/>
  <c r="T918" i="2"/>
  <c r="T916" i="2"/>
  <c r="T915" i="2"/>
  <c r="T914" i="2"/>
  <c r="T913" i="2"/>
  <c r="T912" i="2"/>
  <c r="T911" i="2"/>
  <c r="T906" i="2"/>
  <c r="T905" i="2"/>
  <c r="T904" i="2"/>
  <c r="T903" i="2"/>
  <c r="T902" i="2"/>
  <c r="T901" i="2"/>
  <c r="T894" i="2"/>
  <c r="T893" i="2"/>
  <c r="T892" i="2"/>
  <c r="T891" i="2"/>
  <c r="T890" i="2"/>
  <c r="T889" i="2"/>
  <c r="T888" i="2"/>
  <c r="T887" i="2"/>
  <c r="T886" i="2"/>
  <c r="T881" i="2"/>
  <c r="T880" i="2"/>
  <c r="T877" i="2"/>
  <c r="T876" i="2"/>
  <c r="T875" i="2"/>
  <c r="T874" i="2"/>
  <c r="T873" i="2"/>
  <c r="T872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49" i="2"/>
  <c r="T848" i="2"/>
  <c r="T847" i="2"/>
  <c r="T846" i="2"/>
  <c r="T845" i="2"/>
  <c r="T844" i="2"/>
  <c r="T843" i="2"/>
  <c r="T842" i="2"/>
  <c r="T841" i="2"/>
  <c r="T840" i="2"/>
  <c r="T835" i="2"/>
  <c r="T833" i="2"/>
  <c r="T832" i="2"/>
  <c r="T831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5" i="2"/>
  <c r="T760" i="2"/>
  <c r="T759" i="2"/>
  <c r="T758" i="2"/>
  <c r="T757" i="2"/>
  <c r="T755" i="2"/>
  <c r="T753" i="2"/>
  <c r="T752" i="2"/>
  <c r="T751" i="2"/>
  <c r="T750" i="2"/>
  <c r="T749" i="2"/>
  <c r="T747" i="2"/>
  <c r="T746" i="2"/>
  <c r="T745" i="2"/>
  <c r="T744" i="2"/>
  <c r="T743" i="2"/>
  <c r="T742" i="2"/>
  <c r="T741" i="2"/>
  <c r="T740" i="2"/>
  <c r="T739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2" i="2"/>
  <c r="T601" i="2"/>
  <c r="T600" i="2"/>
  <c r="T594" i="2"/>
  <c r="T593" i="2"/>
  <c r="T591" i="2"/>
  <c r="T590" i="2"/>
  <c r="T589" i="2"/>
  <c r="T588" i="2"/>
  <c r="T582" i="2"/>
  <c r="T581" i="2"/>
  <c r="T580" i="2"/>
  <c r="T578" i="2"/>
  <c r="T574" i="2"/>
  <c r="T573" i="2"/>
  <c r="T572" i="2"/>
  <c r="T571" i="2"/>
  <c r="T569" i="2"/>
  <c r="T568" i="2"/>
  <c r="T567" i="2"/>
  <c r="T560" i="2"/>
  <c r="T520" i="2"/>
  <c r="T519" i="2"/>
  <c r="T518" i="2"/>
  <c r="T517" i="2"/>
  <c r="T516" i="2"/>
  <c r="T515" i="2"/>
  <c r="T514" i="2"/>
  <c r="T513" i="2"/>
  <c r="T510" i="2"/>
  <c r="T509" i="2"/>
  <c r="T508" i="2"/>
  <c r="T502" i="2"/>
  <c r="T496" i="2"/>
  <c r="T495" i="2"/>
  <c r="T494" i="2"/>
  <c r="T493" i="2"/>
  <c r="T487" i="2"/>
  <c r="T485" i="2"/>
  <c r="T484" i="2"/>
  <c r="T483" i="2"/>
  <c r="T482" i="2"/>
  <c r="T481" i="2"/>
  <c r="T480" i="2"/>
  <c r="T478" i="2"/>
  <c r="T477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48" i="2"/>
  <c r="T446" i="2"/>
  <c r="T443" i="2"/>
  <c r="T441" i="2"/>
  <c r="T439" i="2"/>
  <c r="T438" i="2"/>
  <c r="T437" i="2"/>
  <c r="T436" i="2"/>
  <c r="T435" i="2"/>
  <c r="T434" i="2"/>
  <c r="T433" i="2"/>
  <c r="T431" i="2"/>
  <c r="T430" i="2"/>
  <c r="T395" i="2"/>
  <c r="T394" i="2"/>
  <c r="T393" i="2"/>
  <c r="T392" i="2"/>
  <c r="T390" i="2"/>
  <c r="T389" i="2"/>
  <c r="T386" i="2"/>
  <c r="T385" i="2"/>
  <c r="T380" i="2"/>
  <c r="T379" i="2"/>
  <c r="T378" i="2"/>
  <c r="T377" i="2"/>
  <c r="T376" i="2"/>
  <c r="T375" i="2"/>
  <c r="T374" i="2"/>
  <c r="T372" i="2"/>
  <c r="T371" i="2"/>
  <c r="T370" i="2"/>
  <c r="T369" i="2"/>
  <c r="T368" i="2"/>
  <c r="T366" i="2"/>
  <c r="T365" i="2"/>
  <c r="T364" i="2"/>
  <c r="T358" i="2"/>
  <c r="T357" i="2"/>
  <c r="T356" i="2"/>
  <c r="T355" i="2"/>
  <c r="T353" i="2"/>
  <c r="T352" i="2"/>
  <c r="T351" i="2"/>
  <c r="T349" i="2"/>
  <c r="T348" i="2"/>
  <c r="T345" i="2"/>
  <c r="T344" i="2"/>
  <c r="T343" i="2"/>
  <c r="T337" i="2"/>
  <c r="T336" i="2"/>
  <c r="T335" i="2"/>
  <c r="T334" i="2"/>
  <c r="T332" i="2"/>
  <c r="T331" i="2"/>
  <c r="T329" i="2"/>
  <c r="T327" i="2"/>
  <c r="T326" i="2"/>
  <c r="T325" i="2"/>
  <c r="T324" i="2"/>
  <c r="T322" i="2"/>
  <c r="T321" i="2"/>
  <c r="T316" i="2"/>
  <c r="T314" i="2"/>
  <c r="T313" i="2"/>
  <c r="T312" i="2"/>
  <c r="T311" i="2"/>
  <c r="T310" i="2"/>
  <c r="T308" i="2"/>
  <c r="T307" i="2"/>
  <c r="T302" i="2"/>
  <c r="T301" i="2"/>
  <c r="T299" i="2"/>
  <c r="T284" i="2"/>
  <c r="T281" i="2"/>
  <c r="T280" i="2"/>
  <c r="T274" i="2"/>
  <c r="T269" i="2"/>
  <c r="T266" i="2"/>
  <c r="T260" i="2"/>
  <c r="T258" i="2"/>
  <c r="T252" i="2"/>
  <c r="T251" i="2"/>
  <c r="T250" i="2"/>
  <c r="T249" i="2"/>
  <c r="T245" i="2"/>
  <c r="T243" i="2"/>
  <c r="T240" i="2"/>
  <c r="T232" i="2"/>
  <c r="T230" i="2"/>
  <c r="T229" i="2"/>
  <c r="T228" i="2"/>
  <c r="T227" i="2"/>
  <c r="T226" i="2"/>
  <c r="T225" i="2"/>
  <c r="T224" i="2"/>
  <c r="T222" i="2"/>
  <c r="T221" i="2"/>
  <c r="T218" i="2"/>
  <c r="T217" i="2"/>
  <c r="T216" i="2"/>
  <c r="T213" i="2"/>
  <c r="T211" i="2"/>
  <c r="T210" i="2"/>
  <c r="T209" i="2"/>
  <c r="T208" i="2"/>
  <c r="T205" i="2"/>
  <c r="T204" i="2"/>
  <c r="T203" i="2"/>
  <c r="T202" i="2"/>
  <c r="T201" i="2"/>
  <c r="T194" i="2"/>
  <c r="T188" i="2"/>
  <c r="T184" i="2"/>
  <c r="T183" i="2"/>
  <c r="T178" i="2"/>
  <c r="T176" i="2"/>
  <c r="T175" i="2"/>
  <c r="T172" i="2"/>
  <c r="T171" i="2"/>
  <c r="T166" i="2"/>
  <c r="T139" i="2"/>
  <c r="T136" i="2"/>
  <c r="T130" i="2"/>
  <c r="T128" i="2"/>
  <c r="T127" i="2"/>
  <c r="T113" i="2"/>
  <c r="T112" i="2"/>
  <c r="T111" i="2"/>
  <c r="T110" i="2"/>
  <c r="T109" i="2"/>
  <c r="T107" i="2"/>
  <c r="T106" i="2"/>
  <c r="T101" i="2"/>
  <c r="T94" i="2"/>
  <c r="T92" i="2"/>
  <c r="T91" i="2"/>
  <c r="T90" i="2"/>
  <c r="T88" i="2"/>
  <c r="T80" i="2"/>
  <c r="T79" i="2"/>
  <c r="T78" i="2"/>
  <c r="T77" i="2"/>
  <c r="T76" i="2"/>
  <c r="T75" i="2"/>
  <c r="T73" i="2"/>
  <c r="T70" i="2"/>
  <c r="T69" i="2"/>
  <c r="T68" i="2"/>
  <c r="T67" i="2"/>
  <c r="T66" i="2"/>
  <c r="T64" i="2"/>
  <c r="T59" i="2"/>
  <c r="T58" i="2"/>
  <c r="T56" i="2"/>
  <c r="T55" i="2"/>
  <c r="T51" i="2"/>
  <c r="T50" i="2"/>
  <c r="T49" i="2"/>
  <c r="T48" i="2"/>
  <c r="T41" i="2"/>
  <c r="T40" i="2"/>
  <c r="T39" i="2"/>
  <c r="T37" i="2"/>
  <c r="T33" i="2"/>
  <c r="T28" i="2"/>
  <c r="T23" i="2"/>
  <c r="T18" i="2"/>
  <c r="T17" i="2"/>
  <c r="T16" i="2"/>
  <c r="T15" i="2"/>
  <c r="T14" i="2"/>
  <c r="B220" i="13"/>
  <c r="B221" i="13" s="1"/>
  <c r="B198" i="13"/>
  <c r="B175" i="13"/>
  <c r="B162" i="13"/>
  <c r="B139" i="13"/>
  <c r="B125" i="13"/>
  <c r="B101" i="13"/>
  <c r="B87" i="13"/>
  <c r="B70" i="13"/>
  <c r="B51" i="13"/>
  <c r="Q32" i="13"/>
  <c r="J7" i="14" s="1"/>
  <c r="O32" i="13"/>
  <c r="G7" i="14" s="1"/>
  <c r="I7" i="14" s="1"/>
  <c r="B33" i="13"/>
  <c r="K32" i="13"/>
  <c r="E7" i="14" s="1"/>
  <c r="B11" i="13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I150" i="12"/>
  <c r="I147" i="12"/>
  <c r="J36" i="12"/>
  <c r="L36" i="12"/>
  <c r="H36" i="12"/>
  <c r="J45" i="12"/>
  <c r="J44" i="12" s="1"/>
  <c r="L45" i="12"/>
  <c r="L44" i="12" s="1"/>
  <c r="J27" i="12"/>
  <c r="J26" i="12" s="1"/>
  <c r="L27" i="12"/>
  <c r="L26" i="12" s="1"/>
  <c r="H27" i="12"/>
  <c r="H26" i="12" s="1"/>
  <c r="B618" i="1"/>
  <c r="B620" i="1"/>
  <c r="B622" i="1"/>
  <c r="B624" i="1"/>
  <c r="B626" i="1"/>
  <c r="B628" i="1"/>
  <c r="B630" i="1"/>
  <c r="B632" i="1"/>
  <c r="B634" i="1"/>
  <c r="B616" i="1"/>
  <c r="L148" i="12"/>
  <c r="L147" i="12" s="1"/>
  <c r="J148" i="12"/>
  <c r="J147" i="12" s="1"/>
  <c r="H148" i="12"/>
  <c r="H147" i="12" s="1"/>
  <c r="L128" i="12"/>
  <c r="H130" i="12"/>
  <c r="H129" i="12"/>
  <c r="J128" i="12"/>
  <c r="L125" i="12"/>
  <c r="J125" i="12"/>
  <c r="H125" i="12"/>
  <c r="L68" i="12"/>
  <c r="J68" i="12"/>
  <c r="H68" i="12"/>
  <c r="L50" i="12"/>
  <c r="J50" i="12"/>
  <c r="H50" i="12"/>
  <c r="H49" i="12"/>
  <c r="H48" i="12"/>
  <c r="H47" i="12"/>
  <c r="L42" i="12"/>
  <c r="L41" i="12" s="1"/>
  <c r="J42" i="12"/>
  <c r="J41" i="12" s="1"/>
  <c r="H42" i="12"/>
  <c r="H41" i="12" s="1"/>
  <c r="L39" i="12"/>
  <c r="J39" i="12"/>
  <c r="H39" i="12"/>
  <c r="L34" i="12"/>
  <c r="J34" i="12"/>
  <c r="H34" i="12"/>
  <c r="L31" i="12"/>
  <c r="J31" i="12"/>
  <c r="H31" i="12"/>
  <c r="L19" i="12"/>
  <c r="L18" i="12" s="1"/>
  <c r="J19" i="12"/>
  <c r="J18" i="12" s="1"/>
  <c r="H19" i="12"/>
  <c r="H18" i="12" s="1"/>
  <c r="H16" i="12"/>
  <c r="H14" i="12" s="1"/>
  <c r="H13" i="12" s="1"/>
  <c r="L14" i="12"/>
  <c r="L13" i="12" s="1"/>
  <c r="J14" i="12"/>
  <c r="J13" i="12" s="1"/>
  <c r="H12" i="12"/>
  <c r="H11" i="12" s="1"/>
  <c r="H10" i="12" s="1"/>
  <c r="L11" i="12"/>
  <c r="L10" i="12" s="1"/>
  <c r="J11" i="12"/>
  <c r="J10" i="12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L7" i="14" l="1"/>
  <c r="B24" i="13"/>
  <c r="Q161" i="13"/>
  <c r="J14" i="14" s="1"/>
  <c r="L14" i="14" s="1"/>
  <c r="O176" i="13"/>
  <c r="Q219" i="13"/>
  <c r="J17" i="14" s="1"/>
  <c r="L17" i="14" s="1"/>
  <c r="Q202" i="13"/>
  <c r="Q197" i="13" s="1"/>
  <c r="J16" i="14" s="1"/>
  <c r="L16" i="14" s="1"/>
  <c r="O69" i="13"/>
  <c r="G9" i="14" s="1"/>
  <c r="I9" i="14" s="1"/>
  <c r="K11" i="13"/>
  <c r="O161" i="13"/>
  <c r="G14" i="14" s="1"/>
  <c r="I14" i="14" s="1"/>
  <c r="O197" i="13"/>
  <c r="G16" i="14" s="1"/>
  <c r="I16" i="14" s="1"/>
  <c r="Q176" i="13"/>
  <c r="O219" i="13"/>
  <c r="G17" i="14" s="1"/>
  <c r="Q11" i="13"/>
  <c r="O11" i="13"/>
  <c r="Q52" i="13"/>
  <c r="Q69" i="13"/>
  <c r="J9" i="14" s="1"/>
  <c r="L9" i="14" s="1"/>
  <c r="O52" i="13"/>
  <c r="L70" i="12"/>
  <c r="J88" i="12"/>
  <c r="J70" i="12"/>
  <c r="L88" i="12"/>
  <c r="H70" i="12"/>
  <c r="H45" i="12"/>
  <c r="H44" i="12" s="1"/>
  <c r="H146" i="12"/>
  <c r="H145" i="12" s="1"/>
  <c r="H150" i="12" s="1"/>
  <c r="E4" i="14" s="1"/>
  <c r="H128" i="12"/>
  <c r="H124" i="12" s="1"/>
  <c r="J124" i="12"/>
  <c r="L30" i="12"/>
  <c r="J30" i="12"/>
  <c r="H30" i="12"/>
  <c r="L124" i="12"/>
  <c r="J146" i="12"/>
  <c r="J145" i="12" s="1"/>
  <c r="J150" i="12" s="1"/>
  <c r="H4" i="14" s="1"/>
  <c r="H19" i="14" s="1"/>
  <c r="H9" i="12"/>
  <c r="H8" i="12" s="1"/>
  <c r="J9" i="12"/>
  <c r="J8" i="12" s="1"/>
  <c r="H52" i="12"/>
  <c r="H88" i="12"/>
  <c r="L146" i="12"/>
  <c r="L145" i="12" s="1"/>
  <c r="L150" i="12" s="1"/>
  <c r="K4" i="14" s="1"/>
  <c r="K19" i="14" s="1"/>
  <c r="L9" i="12"/>
  <c r="L8" i="12" s="1"/>
  <c r="M815" i="2"/>
  <c r="L815" i="2"/>
  <c r="K815" i="2"/>
  <c r="J815" i="2"/>
  <c r="I815" i="2"/>
  <c r="T815" i="2" s="1"/>
  <c r="I17" i="14" l="1"/>
  <c r="J52" i="12"/>
  <c r="L52" i="12"/>
  <c r="O100" i="13"/>
  <c r="G11" i="14" s="1"/>
  <c r="I11" i="14" s="1"/>
  <c r="Q100" i="13"/>
  <c r="J11" i="14" s="1"/>
  <c r="L11" i="14" s="1"/>
  <c r="O141" i="13"/>
  <c r="O138" i="13" s="1"/>
  <c r="G13" i="14" s="1"/>
  <c r="I13" i="14" s="1"/>
  <c r="O174" i="13"/>
  <c r="G15" i="14" s="1"/>
  <c r="I15" i="14" s="1"/>
  <c r="O86" i="13"/>
  <c r="G10" i="14" s="1"/>
  <c r="I10" i="14" s="1"/>
  <c r="O10" i="13"/>
  <c r="G6" i="14" s="1"/>
  <c r="I6" i="14" s="1"/>
  <c r="Q10" i="13"/>
  <c r="J6" i="14" s="1"/>
  <c r="L6" i="14" s="1"/>
  <c r="Q141" i="13"/>
  <c r="O124" i="13"/>
  <c r="G12" i="14" s="1"/>
  <c r="I12" i="14" s="1"/>
  <c r="Q86" i="13"/>
  <c r="J10" i="14" s="1"/>
  <c r="L10" i="14" s="1"/>
  <c r="Q50" i="13"/>
  <c r="J8" i="14" s="1"/>
  <c r="Q174" i="13"/>
  <c r="J15" i="14" s="1"/>
  <c r="L15" i="14" s="1"/>
  <c r="O50" i="13"/>
  <c r="G8" i="14" s="1"/>
  <c r="I8" i="14" s="1"/>
  <c r="J123" i="12"/>
  <c r="J122" i="12" s="1"/>
  <c r="J121" i="12" s="1"/>
  <c r="L123" i="12"/>
  <c r="L122" i="12" s="1"/>
  <c r="L121" i="12" s="1"/>
  <c r="H123" i="12"/>
  <c r="H122" i="12" s="1"/>
  <c r="H121" i="12" s="1"/>
  <c r="H157" i="12"/>
  <c r="H25" i="12"/>
  <c r="L25" i="12"/>
  <c r="L157" i="12"/>
  <c r="J25" i="12"/>
  <c r="J157" i="12"/>
  <c r="L8" i="14" l="1"/>
  <c r="G5" i="14"/>
  <c r="I5" i="14" s="1"/>
  <c r="Q124" i="13"/>
  <c r="J12" i="14" s="1"/>
  <c r="L12" i="14" s="1"/>
  <c r="Q138" i="13"/>
  <c r="J13" i="14" s="1"/>
  <c r="L13" i="14" s="1"/>
  <c r="L24" i="12"/>
  <c r="L139" i="12" s="1"/>
  <c r="H24" i="12"/>
  <c r="H139" i="12" s="1"/>
  <c r="J24" i="12"/>
  <c r="J139" i="12" s="1"/>
  <c r="H57" i="1"/>
  <c r="J5" i="14" l="1"/>
  <c r="L5" i="14" s="1"/>
  <c r="L156" i="12"/>
  <c r="J4" i="14"/>
  <c r="J156" i="12"/>
  <c r="G4" i="14"/>
  <c r="H156" i="12"/>
  <c r="H158" i="12" s="1"/>
  <c r="D4" i="14"/>
  <c r="F4" i="14" s="1"/>
  <c r="L158" i="12"/>
  <c r="J158" i="12"/>
  <c r="L4" i="14" l="1"/>
  <c r="L20" i="14" s="1"/>
  <c r="L35" i="14" s="1"/>
  <c r="J18" i="14"/>
  <c r="I4" i="14"/>
  <c r="I20" i="14" s="1"/>
  <c r="I35" i="14" s="1"/>
  <c r="G18" i="14"/>
  <c r="R1996" i="2" l="1"/>
  <c r="O1996" i="2"/>
  <c r="P1998" i="2"/>
  <c r="N1998" i="2"/>
  <c r="T1998" i="2" s="1"/>
  <c r="T214" i="2" l="1"/>
  <c r="I1023" i="2" l="1"/>
  <c r="T1023" i="2" s="1"/>
  <c r="P1059" i="2" l="1"/>
  <c r="O1059" i="2"/>
  <c r="I576" i="2"/>
  <c r="T576" i="2" s="1"/>
  <c r="J565" i="2"/>
  <c r="I575" i="2"/>
  <c r="T575" i="2" s="1"/>
  <c r="I570" i="2"/>
  <c r="T570" i="2" s="1"/>
  <c r="I566" i="2"/>
  <c r="I565" i="2" s="1"/>
  <c r="T566" i="2" l="1"/>
  <c r="T565" i="2"/>
  <c r="Q1469" i="2"/>
  <c r="P1469" i="2"/>
  <c r="O1469" i="2"/>
  <c r="O1745" i="2"/>
  <c r="O1742" i="2" s="1"/>
  <c r="P1745" i="2"/>
  <c r="P1743" i="2"/>
  <c r="N187" i="2"/>
  <c r="T187" i="2" s="1"/>
  <c r="R174" i="2"/>
  <c r="Q174" i="2"/>
  <c r="P174" i="2"/>
  <c r="O174" i="2"/>
  <c r="N956" i="2"/>
  <c r="P1004" i="2"/>
  <c r="Q1004" i="2"/>
  <c r="O1007" i="2"/>
  <c r="P1007" i="2"/>
  <c r="Q1007" i="2"/>
  <c r="R1018" i="2"/>
  <c r="R1017" i="2" s="1"/>
  <c r="R1007" i="2" s="1"/>
  <c r="N1007" i="2"/>
  <c r="O868" i="2"/>
  <c r="P868" i="2"/>
  <c r="Q868" i="2"/>
  <c r="R879" i="2"/>
  <c r="R878" i="2" s="1"/>
  <c r="R868" i="2" s="1"/>
  <c r="N879" i="2"/>
  <c r="T879" i="2" s="1"/>
  <c r="O836" i="2"/>
  <c r="Q836" i="2"/>
  <c r="R836" i="2"/>
  <c r="N836" i="2"/>
  <c r="O1045" i="2"/>
  <c r="O1044" i="2" s="1"/>
  <c r="O1033" i="2" s="1"/>
  <c r="P1045" i="2"/>
  <c r="P1044" i="2" s="1"/>
  <c r="P1033" i="2" s="1"/>
  <c r="Q1033" i="2"/>
  <c r="R1033" i="2"/>
  <c r="N1045" i="2"/>
  <c r="O1058" i="2"/>
  <c r="O1047" i="2" s="1"/>
  <c r="P1058" i="2"/>
  <c r="P1047" i="2" s="1"/>
  <c r="Q1047" i="2"/>
  <c r="R1058" i="2"/>
  <c r="R1047" i="2" s="1"/>
  <c r="N1047" i="2"/>
  <c r="O1020" i="2"/>
  <c r="P1020" i="2"/>
  <c r="Q1020" i="2"/>
  <c r="R1031" i="2"/>
  <c r="R1020" i="2" s="1"/>
  <c r="R935" i="2"/>
  <c r="P937" i="2"/>
  <c r="O920" i="2"/>
  <c r="P920" i="2"/>
  <c r="Q920" i="2"/>
  <c r="R918" i="2"/>
  <c r="N920" i="2"/>
  <c r="T920" i="2" s="1"/>
  <c r="O882" i="2"/>
  <c r="P882" i="2"/>
  <c r="Q882" i="2"/>
  <c r="R893" i="2"/>
  <c r="R892" i="2" s="1"/>
  <c r="R882" i="2" s="1"/>
  <c r="N882" i="2"/>
  <c r="O826" i="2"/>
  <c r="P826" i="2"/>
  <c r="P823" i="2"/>
  <c r="R823" i="2"/>
  <c r="Q987" i="2"/>
  <c r="R987" i="2"/>
  <c r="P985" i="2"/>
  <c r="N987" i="2"/>
  <c r="T987" i="2" s="1"/>
  <c r="O864" i="2"/>
  <c r="R864" i="2"/>
  <c r="P862" i="2"/>
  <c r="Q862" i="2"/>
  <c r="R862" i="2"/>
  <c r="O952" i="2"/>
  <c r="P952" i="2"/>
  <c r="Q952" i="2"/>
  <c r="R952" i="2"/>
  <c r="O950" i="2"/>
  <c r="P950" i="2"/>
  <c r="N1044" i="2" l="1"/>
  <c r="T1045" i="2"/>
  <c r="P1742" i="2"/>
  <c r="P934" i="2"/>
  <c r="P924" i="2" s="1"/>
  <c r="R934" i="2"/>
  <c r="R924" i="2" s="1"/>
  <c r="O924" i="2"/>
  <c r="Q917" i="2"/>
  <c r="Q907" i="2" s="1"/>
  <c r="Q924" i="2"/>
  <c r="N924" i="2"/>
  <c r="R917" i="2"/>
  <c r="R907" i="2" s="1"/>
  <c r="O917" i="2"/>
  <c r="O907" i="2" s="1"/>
  <c r="P917" i="2"/>
  <c r="P907" i="2" s="1"/>
  <c r="N917" i="2"/>
  <c r="Q811" i="2"/>
  <c r="Q984" i="2"/>
  <c r="Q974" i="2" s="1"/>
  <c r="R822" i="2"/>
  <c r="R811" i="2" s="1"/>
  <c r="O822" i="2"/>
  <c r="O811" i="2" s="1"/>
  <c r="P822" i="2"/>
  <c r="P811" i="2" s="1"/>
  <c r="N811" i="2"/>
  <c r="R984" i="2"/>
  <c r="R974" i="2" s="1"/>
  <c r="O974" i="2"/>
  <c r="P984" i="2"/>
  <c r="P974" i="2" s="1"/>
  <c r="N984" i="2"/>
  <c r="T984" i="2" s="1"/>
  <c r="Q861" i="2"/>
  <c r="Q850" i="2" s="1"/>
  <c r="R861" i="2"/>
  <c r="R850" i="2" s="1"/>
  <c r="O861" i="2"/>
  <c r="O850" i="2" s="1"/>
  <c r="N850" i="2"/>
  <c r="Q949" i="2"/>
  <c r="Q939" i="2" s="1"/>
  <c r="R949" i="2"/>
  <c r="R939" i="2" s="1"/>
  <c r="O949" i="2"/>
  <c r="O939" i="2" s="1"/>
  <c r="P949" i="2"/>
  <c r="P939" i="2" s="1"/>
  <c r="N939" i="2"/>
  <c r="N1745" i="2"/>
  <c r="R1002" i="2"/>
  <c r="R971" i="2"/>
  <c r="Q968" i="2"/>
  <c r="P971" i="2"/>
  <c r="P968" i="2"/>
  <c r="O971" i="2"/>
  <c r="O966" i="2" s="1"/>
  <c r="N1742" i="2" l="1"/>
  <c r="T1745" i="2"/>
  <c r="N907" i="2"/>
  <c r="T917" i="2"/>
  <c r="N1033" i="2"/>
  <c r="T1044" i="2"/>
  <c r="Q1001" i="2"/>
  <c r="Q990" i="2" s="1"/>
  <c r="Q966" i="2"/>
  <c r="Q956" i="2" s="1"/>
  <c r="R966" i="2"/>
  <c r="R956" i="2" s="1"/>
  <c r="R1001" i="2"/>
  <c r="R990" i="2" s="1"/>
  <c r="O990" i="2"/>
  <c r="P1001" i="2"/>
  <c r="P990" i="2" s="1"/>
  <c r="N990" i="2"/>
  <c r="P966" i="2"/>
  <c r="P956" i="2" s="1"/>
  <c r="O956" i="2"/>
  <c r="N1722" i="2" l="1"/>
  <c r="N1466" i="2" s="1"/>
  <c r="K128" i="13" s="1"/>
  <c r="T1742" i="2"/>
  <c r="O828" i="2"/>
  <c r="Q828" i="2"/>
  <c r="R828" i="2"/>
  <c r="K246" i="2"/>
  <c r="P516" i="2" l="1"/>
  <c r="P369" i="2"/>
  <c r="P638" i="2"/>
  <c r="P1633" i="2"/>
  <c r="P1615" i="2" s="1"/>
  <c r="P866" i="2"/>
  <c r="P864" i="2" s="1"/>
  <c r="P861" i="2" s="1"/>
  <c r="P850" i="2" s="1"/>
  <c r="K2262" i="2"/>
  <c r="K204" i="2"/>
  <c r="K200" i="2" s="1"/>
  <c r="K2179" i="2"/>
  <c r="K930" i="2"/>
  <c r="K1945" i="2"/>
  <c r="K1966" i="2"/>
  <c r="K2008" i="2"/>
  <c r="K566" i="2"/>
  <c r="K565" i="2" s="1"/>
  <c r="P1997" i="2" l="1"/>
  <c r="P274" i="2"/>
  <c r="P187" i="2"/>
  <c r="P76" i="2"/>
  <c r="P715" i="2"/>
  <c r="P1999" i="2"/>
  <c r="P849" i="2"/>
  <c r="P847" i="2" s="1"/>
  <c r="P846" i="2" s="1"/>
  <c r="P836" i="2" s="1"/>
  <c r="P828" i="2" s="1"/>
  <c r="P747" i="2"/>
  <c r="P726" i="2"/>
  <c r="P719" i="2"/>
  <c r="N1201" i="2" l="1"/>
  <c r="T1201" i="2" s="1"/>
  <c r="N1020" i="2"/>
  <c r="N878" i="2"/>
  <c r="N974" i="2"/>
  <c r="N868" i="2" l="1"/>
  <c r="T878" i="2"/>
  <c r="N828" i="2"/>
  <c r="R1070" i="2"/>
  <c r="M1064" i="2"/>
  <c r="L1064" i="2"/>
  <c r="K1064" i="2"/>
  <c r="J1064" i="2"/>
  <c r="O1277" i="2"/>
  <c r="P1277" i="2"/>
  <c r="Q1277" i="2"/>
  <c r="R1306" i="2"/>
  <c r="R1305" i="2" s="1"/>
  <c r="R1277" i="2" s="1"/>
  <c r="N1277" i="2"/>
  <c r="P1272" i="2"/>
  <c r="P1274" i="2"/>
  <c r="N1274" i="2"/>
  <c r="T1274" i="2" s="1"/>
  <c r="P1334" i="2"/>
  <c r="P1337" i="2"/>
  <c r="N1340" i="2"/>
  <c r="P1199" i="2"/>
  <c r="O1201" i="2"/>
  <c r="P1201" i="2"/>
  <c r="Q1201" i="2"/>
  <c r="Q1141" i="2"/>
  <c r="O1141" i="2"/>
  <c r="P1141" i="2"/>
  <c r="P1144" i="2"/>
  <c r="Q1144" i="2"/>
  <c r="R1144" i="2"/>
  <c r="N1144" i="2"/>
  <c r="T1144" i="2" s="1"/>
  <c r="N1337" i="2" l="1"/>
  <c r="T1337" i="2" s="1"/>
  <c r="T1340" i="2"/>
  <c r="P1139" i="2"/>
  <c r="P1116" i="2" s="1"/>
  <c r="N1270" i="2"/>
  <c r="P1270" i="2"/>
  <c r="P1243" i="2" s="1"/>
  <c r="R1243" i="2"/>
  <c r="O1243" i="2"/>
  <c r="Q1243" i="2"/>
  <c r="P1333" i="2"/>
  <c r="P1309" i="2" s="1"/>
  <c r="R1309" i="2"/>
  <c r="O1309" i="2"/>
  <c r="Q1309" i="2"/>
  <c r="R1198" i="2"/>
  <c r="R1174" i="2" s="1"/>
  <c r="Q1198" i="2"/>
  <c r="Q1174" i="2" s="1"/>
  <c r="N1198" i="2"/>
  <c r="P1198" i="2"/>
  <c r="P1174" i="2" s="1"/>
  <c r="O1198" i="2"/>
  <c r="O1174" i="2" s="1"/>
  <c r="R1139" i="2"/>
  <c r="R1116" i="2" s="1"/>
  <c r="Q1139" i="2"/>
  <c r="Q1116" i="2" s="1"/>
  <c r="N1139" i="2"/>
  <c r="O1139" i="2"/>
  <c r="O1116" i="2" s="1"/>
  <c r="N1333" i="2" l="1"/>
  <c r="T1333" i="2" s="1"/>
  <c r="N1174" i="2"/>
  <c r="T1198" i="2"/>
  <c r="N1243" i="2"/>
  <c r="T1270" i="2"/>
  <c r="N1116" i="2"/>
  <c r="T1139" i="2"/>
  <c r="Q1205" i="2"/>
  <c r="P1232" i="2"/>
  <c r="N1232" i="2"/>
  <c r="T1232" i="2" s="1"/>
  <c r="O1236" i="2"/>
  <c r="P1236" i="2"/>
  <c r="R1236" i="2"/>
  <c r="R1230" i="2" s="1"/>
  <c r="R1205" i="2" s="1"/>
  <c r="P1087" i="2"/>
  <c r="O1087" i="2"/>
  <c r="N1910" i="2"/>
  <c r="T1910" i="2" s="1"/>
  <c r="I993" i="2"/>
  <c r="T993" i="2" s="1"/>
  <c r="T2103" i="2"/>
  <c r="N1237" i="2"/>
  <c r="N1996" i="2"/>
  <c r="T1996" i="2" s="1"/>
  <c r="N748" i="2"/>
  <c r="T748" i="2" s="1"/>
  <c r="N738" i="2"/>
  <c r="T738" i="2" l="1"/>
  <c r="N658" i="2"/>
  <c r="N1309" i="2"/>
  <c r="N1236" i="2"/>
  <c r="T1236" i="2" s="1"/>
  <c r="T1237" i="2"/>
  <c r="O1230" i="2"/>
  <c r="O1205" i="2" s="1"/>
  <c r="P1230" i="2"/>
  <c r="P1205" i="2" s="1"/>
  <c r="N1912" i="2"/>
  <c r="N1230" i="2" l="1"/>
  <c r="N1205" i="2" s="1"/>
  <c r="N1909" i="2"/>
  <c r="T1909" i="2" s="1"/>
  <c r="T1912" i="2"/>
  <c r="T1230" i="2"/>
  <c r="N2376" i="2"/>
  <c r="N1950" i="2"/>
  <c r="T1950" i="2" s="1"/>
  <c r="N1923" i="2"/>
  <c r="T1923" i="2" s="1"/>
  <c r="N207" i="2"/>
  <c r="T207" i="2" s="1"/>
  <c r="N2260" i="2"/>
  <c r="T2260" i="2" s="1"/>
  <c r="K2213" i="2"/>
  <c r="K2216" i="2"/>
  <c r="I2210" i="2"/>
  <c r="T2210" i="2" s="1"/>
  <c r="N2375" i="2" l="1"/>
  <c r="T2376" i="2"/>
  <c r="K2210" i="2"/>
  <c r="K2567" i="2"/>
  <c r="K2540" i="2"/>
  <c r="K2539" i="2"/>
  <c r="K2537" i="2"/>
  <c r="K2532" i="2"/>
  <c r="K2531" i="2"/>
  <c r="K2521" i="2"/>
  <c r="K2500" i="2"/>
  <c r="K2496" i="2"/>
  <c r="K2493" i="2"/>
  <c r="K2492" i="2"/>
  <c r="K2475" i="2"/>
  <c r="K2486" i="2"/>
  <c r="K2479" i="2"/>
  <c r="K2478" i="2"/>
  <c r="K2449" i="2"/>
  <c r="K2448" i="2"/>
  <c r="K2446" i="2"/>
  <c r="K2414" i="2"/>
  <c r="K2413" i="2"/>
  <c r="P2375" i="2"/>
  <c r="P2366" i="2" s="1"/>
  <c r="K2383" i="2"/>
  <c r="K2372" i="2"/>
  <c r="K2371" i="2"/>
  <c r="P2000" i="2"/>
  <c r="P1996" i="2" s="1"/>
  <c r="P1950" i="2"/>
  <c r="K1779" i="2"/>
  <c r="P1721" i="2"/>
  <c r="K1433" i="2"/>
  <c r="K1430" i="2"/>
  <c r="K1429" i="2"/>
  <c r="K1403" i="2"/>
  <c r="K1402" i="2"/>
  <c r="K1222" i="2"/>
  <c r="K1221" i="2"/>
  <c r="K1212" i="2"/>
  <c r="K1211" i="2"/>
  <c r="P448" i="2"/>
  <c r="K443" i="2"/>
  <c r="K438" i="2"/>
  <c r="K437" i="2"/>
  <c r="K436" i="2"/>
  <c r="K435" i="2"/>
  <c r="K431" i="2"/>
  <c r="P207" i="2"/>
  <c r="K172" i="2"/>
  <c r="N2365" i="2" l="1"/>
  <c r="N2363" i="2" s="1"/>
  <c r="K198" i="13" s="1"/>
  <c r="T2375" i="2"/>
  <c r="J538" i="1"/>
  <c r="J39" i="1"/>
  <c r="H39" i="1"/>
  <c r="K197" i="13" l="1"/>
  <c r="E16" i="14" s="1"/>
  <c r="H12" i="1" l="1"/>
  <c r="I2442" i="2"/>
  <c r="T2442" i="2" s="1"/>
  <c r="I2441" i="2"/>
  <c r="T2441" i="2" s="1"/>
  <c r="I2007" i="2" l="1"/>
  <c r="T2007" i="2" s="1"/>
  <c r="N2187" i="2"/>
  <c r="T603" i="2"/>
  <c r="I2257" i="2"/>
  <c r="T2257" i="2" s="1"/>
  <c r="N1990" i="2"/>
  <c r="T1990" i="2" s="1"/>
  <c r="N1953" i="2"/>
  <c r="N1949" i="2" l="1"/>
  <c r="T1949" i="2" s="1"/>
  <c r="T1953" i="2"/>
  <c r="N2186" i="2"/>
  <c r="T2186" i="2" s="1"/>
  <c r="T2187" i="2"/>
  <c r="N1061" i="2"/>
  <c r="K126" i="13" s="1"/>
  <c r="N790" i="2"/>
  <c r="K125" i="13" s="1"/>
  <c r="K124" i="13" l="1"/>
  <c r="E12" i="14" s="1"/>
  <c r="I195" i="2"/>
  <c r="T195" i="2" s="1"/>
  <c r="N373" i="2"/>
  <c r="N367" i="2" s="1"/>
  <c r="T373" i="2" l="1"/>
  <c r="N599" i="2"/>
  <c r="T599" i="2" s="1"/>
  <c r="T658" i="2"/>
  <c r="N2019" i="2"/>
  <c r="N2018" i="2" l="1"/>
  <c r="T2019" i="2"/>
  <c r="N359" i="2"/>
  <c r="T367" i="2"/>
  <c r="I2006" i="2"/>
  <c r="T2006" i="2" s="1"/>
  <c r="I2005" i="2"/>
  <c r="T2005" i="2" s="1"/>
  <c r="I586" i="2"/>
  <c r="T586" i="2" s="1"/>
  <c r="I585" i="2"/>
  <c r="T585" i="2" s="1"/>
  <c r="N579" i="2"/>
  <c r="N561" i="2" l="1"/>
  <c r="T579" i="2"/>
  <c r="K75" i="13"/>
  <c r="N2003" i="2"/>
  <c r="N1986" i="2" s="1"/>
  <c r="K147" i="13" s="1"/>
  <c r="T2018" i="2"/>
  <c r="I1110" i="2"/>
  <c r="T1110" i="2" s="1"/>
  <c r="I1100" i="2"/>
  <c r="T1100" i="2" s="1"/>
  <c r="H535" i="1"/>
  <c r="H534" i="1"/>
  <c r="I1065" i="2"/>
  <c r="T1065" i="2" s="1"/>
  <c r="I830" i="2"/>
  <c r="T830" i="2" s="1"/>
  <c r="M797" i="2"/>
  <c r="L797" i="2"/>
  <c r="K797" i="2"/>
  <c r="J797" i="2"/>
  <c r="I797" i="2"/>
  <c r="T797" i="2" s="1"/>
  <c r="I1595" i="2"/>
  <c r="T1595" i="2" s="1"/>
  <c r="I1594" i="2"/>
  <c r="T1594" i="2" s="1"/>
  <c r="I1578" i="2"/>
  <c r="T1578" i="2" s="1"/>
  <c r="I1577" i="2"/>
  <c r="T1577" i="2" s="1"/>
  <c r="I1569" i="2"/>
  <c r="T1569" i="2" s="1"/>
  <c r="I1568" i="2"/>
  <c r="T1568" i="2" s="1"/>
  <c r="I1559" i="2"/>
  <c r="T1559" i="2" s="1"/>
  <c r="I1558" i="2"/>
  <c r="T1558" i="2" s="1"/>
  <c r="I1549" i="2"/>
  <c r="T1549" i="2" s="1"/>
  <c r="I1548" i="2"/>
  <c r="T1548" i="2" s="1"/>
  <c r="I1538" i="2"/>
  <c r="T1538" i="2" s="1"/>
  <c r="I1537" i="2"/>
  <c r="T1537" i="2" s="1"/>
  <c r="I1605" i="2"/>
  <c r="T1605" i="2" s="1"/>
  <c r="I1604" i="2"/>
  <c r="T1604" i="2" s="1"/>
  <c r="I1528" i="2"/>
  <c r="T1528" i="2" s="1"/>
  <c r="I1527" i="2"/>
  <c r="T1527" i="2" s="1"/>
  <c r="I1518" i="2"/>
  <c r="T1518" i="2" s="1"/>
  <c r="I1517" i="2"/>
  <c r="T1517" i="2" s="1"/>
  <c r="I1511" i="2"/>
  <c r="T1511" i="2" s="1"/>
  <c r="I1510" i="2"/>
  <c r="T1510" i="2" s="1"/>
  <c r="I1503" i="2"/>
  <c r="T1503" i="2" s="1"/>
  <c r="I1502" i="2"/>
  <c r="T1502" i="2" s="1"/>
  <c r="I1493" i="2"/>
  <c r="T1493" i="2" s="1"/>
  <c r="I1492" i="2"/>
  <c r="T1492" i="2" s="1"/>
  <c r="I1483" i="2"/>
  <c r="T1483" i="2" s="1"/>
  <c r="I1482" i="2"/>
  <c r="T1482" i="2" s="1"/>
  <c r="I1049" i="2"/>
  <c r="T1049" i="2" s="1"/>
  <c r="I1048" i="2"/>
  <c r="T1048" i="2" s="1"/>
  <c r="I1035" i="2"/>
  <c r="T1035" i="2" s="1"/>
  <c r="I1034" i="2"/>
  <c r="T1034" i="2" s="1"/>
  <c r="I1022" i="2"/>
  <c r="T1022" i="2" s="1"/>
  <c r="I1021" i="2"/>
  <c r="T1021" i="2" s="1"/>
  <c r="I1009" i="2"/>
  <c r="T1009" i="2" s="1"/>
  <c r="I1008" i="2"/>
  <c r="T1008" i="2" s="1"/>
  <c r="I992" i="2"/>
  <c r="T992" i="2" s="1"/>
  <c r="I991" i="2"/>
  <c r="T991" i="2" s="1"/>
  <c r="I976" i="2"/>
  <c r="T976" i="2" s="1"/>
  <c r="I975" i="2"/>
  <c r="T975" i="2" s="1"/>
  <c r="I958" i="2"/>
  <c r="T958" i="2" s="1"/>
  <c r="I957" i="2"/>
  <c r="T957" i="2" s="1"/>
  <c r="I941" i="2"/>
  <c r="T941" i="2" s="1"/>
  <c r="I940" i="2"/>
  <c r="T940" i="2" s="1"/>
  <c r="I926" i="2"/>
  <c r="T926" i="2" s="1"/>
  <c r="I925" i="2"/>
  <c r="T925" i="2" s="1"/>
  <c r="I909" i="2"/>
  <c r="T909" i="2" s="1"/>
  <c r="I908" i="2"/>
  <c r="T908" i="2" s="1"/>
  <c r="I899" i="2"/>
  <c r="T899" i="2" s="1"/>
  <c r="I898" i="2"/>
  <c r="T898" i="2" s="1"/>
  <c r="I884" i="2"/>
  <c r="T884" i="2" s="1"/>
  <c r="I883" i="2"/>
  <c r="T883" i="2" s="1"/>
  <c r="I870" i="2"/>
  <c r="T870" i="2" s="1"/>
  <c r="I869" i="2"/>
  <c r="T869" i="2" s="1"/>
  <c r="I852" i="2"/>
  <c r="T852" i="2" s="1"/>
  <c r="I851" i="2"/>
  <c r="T851" i="2" s="1"/>
  <c r="I838" i="2"/>
  <c r="T838" i="2" s="1"/>
  <c r="I837" i="2"/>
  <c r="T837" i="2" s="1"/>
  <c r="I814" i="2"/>
  <c r="T814" i="2" s="1"/>
  <c r="I813" i="2"/>
  <c r="T813" i="2" s="1"/>
  <c r="I1618" i="2"/>
  <c r="T1618" i="2" s="1"/>
  <c r="I1626" i="2"/>
  <c r="T1626" i="2" s="1"/>
  <c r="I1625" i="2"/>
  <c r="T1625" i="2" s="1"/>
  <c r="I1617" i="2"/>
  <c r="T1617" i="2" s="1"/>
  <c r="I1646" i="2"/>
  <c r="T1646" i="2" s="1"/>
  <c r="I1638" i="2"/>
  <c r="T1638" i="2" s="1"/>
  <c r="I1645" i="2"/>
  <c r="T1645" i="2" s="1"/>
  <c r="I1637" i="2"/>
  <c r="T1637" i="2" s="1"/>
  <c r="I1734" i="2"/>
  <c r="T1734" i="2" s="1"/>
  <c r="I1725" i="2"/>
  <c r="T1725" i="2" s="1"/>
  <c r="I1733" i="2"/>
  <c r="T1733" i="2" s="1"/>
  <c r="I1724" i="2"/>
  <c r="T1724" i="2" s="1"/>
  <c r="I1658" i="2"/>
  <c r="T1658" i="2" s="1"/>
  <c r="I1656" i="2"/>
  <c r="T1656" i="2" s="1"/>
  <c r="I1691" i="2"/>
  <c r="T1691" i="2" s="1"/>
  <c r="I1683" i="2"/>
  <c r="T1683" i="2" s="1"/>
  <c r="I1690" i="2"/>
  <c r="T1690" i="2" s="1"/>
  <c r="I1682" i="2"/>
  <c r="T1682" i="2" s="1"/>
  <c r="I1673" i="2"/>
  <c r="T1673" i="2" s="1"/>
  <c r="I1664" i="2"/>
  <c r="T1664" i="2" s="1"/>
  <c r="I1672" i="2"/>
  <c r="T1672" i="2" s="1"/>
  <c r="I1663" i="2"/>
  <c r="T1663" i="2" s="1"/>
  <c r="N177" i="2"/>
  <c r="T177" i="2" s="1"/>
  <c r="N174" i="2"/>
  <c r="T174" i="2" s="1"/>
  <c r="N1927" i="2"/>
  <c r="N54" i="2"/>
  <c r="T54" i="2" s="1"/>
  <c r="K69" i="13" l="1"/>
  <c r="E9" i="14" s="1"/>
  <c r="N1922" i="2"/>
  <c r="T1922" i="2" s="1"/>
  <c r="T1927" i="2"/>
  <c r="K102" i="13"/>
  <c r="I990" i="2"/>
  <c r="T990" i="2" s="1"/>
  <c r="I1878" i="2"/>
  <c r="T1878" i="2" s="1"/>
  <c r="H16" i="1" l="1"/>
  <c r="I238" i="2"/>
  <c r="T238" i="2" s="1"/>
  <c r="I237" i="2"/>
  <c r="T237" i="2" s="1"/>
  <c r="H19" i="1" l="1"/>
  <c r="N2570" i="2" l="1"/>
  <c r="K222" i="13" l="1"/>
  <c r="T2570" i="2"/>
  <c r="M222" i="13" l="1"/>
  <c r="K354" i="2" l="1"/>
  <c r="J354" i="2"/>
  <c r="J350" i="2" s="1"/>
  <c r="I354" i="2"/>
  <c r="T354" i="2" s="1"/>
  <c r="J347" i="2" l="1"/>
  <c r="J346" i="2"/>
  <c r="K366" i="2" l="1"/>
  <c r="K314" i="2"/>
  <c r="P2259" i="2"/>
  <c r="P2246" i="2" s="1"/>
  <c r="K1980" i="2"/>
  <c r="K1940" i="2"/>
  <c r="K830" i="2"/>
  <c r="K874" i="2"/>
  <c r="P658" i="2"/>
  <c r="P603" i="2"/>
  <c r="K69" i="2"/>
  <c r="J563" i="1"/>
  <c r="J562" i="1" s="1"/>
  <c r="J512" i="1"/>
  <c r="K2296" i="2" l="1"/>
  <c r="L2296" i="2"/>
  <c r="M2296" i="2"/>
  <c r="J2296" i="2"/>
  <c r="K2200" i="2"/>
  <c r="J2200" i="2"/>
  <c r="M1894" i="2" l="1"/>
  <c r="L1894" i="2"/>
  <c r="K1894" i="2"/>
  <c r="J1894" i="2"/>
  <c r="I1894" i="2"/>
  <c r="T1894" i="2" s="1"/>
  <c r="M1778" i="2"/>
  <c r="Q1742" i="2"/>
  <c r="Q1583" i="2"/>
  <c r="Q1576" i="2" s="1"/>
  <c r="Q1524" i="2"/>
  <c r="Q1499" i="2"/>
  <c r="P1358" i="2"/>
  <c r="M1349" i="2"/>
  <c r="L1349" i="2"/>
  <c r="J1349" i="2"/>
  <c r="K1349" i="2"/>
  <c r="I1349" i="2"/>
  <c r="T1349" i="2" s="1"/>
  <c r="R1358" i="2"/>
  <c r="I1345" i="2"/>
  <c r="T1345" i="2" s="1"/>
  <c r="J1345" i="2"/>
  <c r="K1345" i="2"/>
  <c r="L1345" i="2"/>
  <c r="M1345" i="2"/>
  <c r="I829" i="2" l="1"/>
  <c r="T829" i="2" s="1"/>
  <c r="M830" i="2"/>
  <c r="L830" i="2"/>
  <c r="J830" i="2"/>
  <c r="J829" i="2" s="1"/>
  <c r="J794" i="2"/>
  <c r="K794" i="2"/>
  <c r="L794" i="2"/>
  <c r="M794" i="2"/>
  <c r="I794" i="2"/>
  <c r="T794" i="2" s="1"/>
  <c r="Q658" i="2"/>
  <c r="O658" i="2"/>
  <c r="Q603" i="2"/>
  <c r="R603" i="2"/>
  <c r="O603" i="2"/>
  <c r="P759" i="2"/>
  <c r="L587" i="2"/>
  <c r="M587" i="2"/>
  <c r="K587" i="2"/>
  <c r="J587" i="2"/>
  <c r="J498" i="2"/>
  <c r="K498" i="2"/>
  <c r="L498" i="2"/>
  <c r="M498" i="2"/>
  <c r="J499" i="2"/>
  <c r="K499" i="2"/>
  <c r="L499" i="2"/>
  <c r="M499" i="2"/>
  <c r="J500" i="2"/>
  <c r="K500" i="2"/>
  <c r="L500" i="2"/>
  <c r="M500" i="2"/>
  <c r="J501" i="2"/>
  <c r="J497" i="2" s="1"/>
  <c r="K501" i="2"/>
  <c r="K497" i="2" s="1"/>
  <c r="L501" i="2"/>
  <c r="L497" i="2" s="1"/>
  <c r="M501" i="2"/>
  <c r="M497" i="2" s="1"/>
  <c r="K479" i="2"/>
  <c r="L479" i="2"/>
  <c r="M479" i="2"/>
  <c r="J479" i="2"/>
  <c r="P460" i="2"/>
  <c r="P462" i="2"/>
  <c r="Q462" i="2"/>
  <c r="Q458" i="2" s="1"/>
  <c r="R462" i="2"/>
  <c r="R458" i="2" s="1"/>
  <c r="O462" i="2"/>
  <c r="O458" i="2" s="1"/>
  <c r="K391" i="2"/>
  <c r="K387" i="2" s="1"/>
  <c r="L391" i="2"/>
  <c r="L387" i="2" s="1"/>
  <c r="M391" i="2"/>
  <c r="M387" i="2" s="1"/>
  <c r="J391" i="2"/>
  <c r="J387" i="2" s="1"/>
  <c r="P373" i="2"/>
  <c r="Q373" i="2"/>
  <c r="R373" i="2"/>
  <c r="O373" i="2"/>
  <c r="P368" i="2"/>
  <c r="Q368" i="2"/>
  <c r="O368" i="2"/>
  <c r="R343" i="2"/>
  <c r="K333" i="2"/>
  <c r="L333" i="2"/>
  <c r="M333" i="2"/>
  <c r="J333" i="2"/>
  <c r="P458" i="2" l="1"/>
  <c r="K265" i="2"/>
  <c r="L265" i="2"/>
  <c r="M265" i="2"/>
  <c r="J265" i="2"/>
  <c r="P250" i="2"/>
  <c r="R250" i="2"/>
  <c r="O250" i="2"/>
  <c r="K239" i="2"/>
  <c r="L239" i="2"/>
  <c r="M239" i="2"/>
  <c r="J239" i="2"/>
  <c r="K223" i="2"/>
  <c r="L223" i="2"/>
  <c r="M223" i="2"/>
  <c r="J223" i="2"/>
  <c r="J200" i="2" l="1"/>
  <c r="L200" i="2"/>
  <c r="M200" i="2"/>
  <c r="J231" i="2"/>
  <c r="K231" i="2"/>
  <c r="L231" i="2"/>
  <c r="M231" i="2"/>
  <c r="N34" i="2" l="1"/>
  <c r="O34" i="2"/>
  <c r="P34" i="2"/>
  <c r="Q34" i="2"/>
  <c r="R34" i="2"/>
  <c r="K268" i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H155" i="1"/>
  <c r="H154" i="1" s="1"/>
  <c r="H153" i="1" s="1"/>
  <c r="J148" i="1"/>
  <c r="I148" i="1"/>
  <c r="H148" i="1"/>
  <c r="L140" i="1"/>
  <c r="K140" i="1"/>
  <c r="J140" i="1"/>
  <c r="I140" i="1"/>
  <c r="H140" i="1"/>
  <c r="L121" i="1"/>
  <c r="L120" i="1" s="1"/>
  <c r="K121" i="1"/>
  <c r="K120" i="1" s="1"/>
  <c r="J121" i="1"/>
  <c r="J120" i="1" s="1"/>
  <c r="I121" i="1"/>
  <c r="I120" i="1" s="1"/>
  <c r="H121" i="1"/>
  <c r="H120" i="1" s="1"/>
  <c r="K115" i="1"/>
  <c r="J115" i="1"/>
  <c r="I115" i="1"/>
  <c r="H115" i="1"/>
  <c r="L177" i="1"/>
  <c r="K177" i="1"/>
  <c r="J177" i="1"/>
  <c r="I177" i="1"/>
  <c r="H177" i="1"/>
  <c r="K162" i="1"/>
  <c r="I466" i="1"/>
  <c r="J466" i="1"/>
  <c r="K466" i="1"/>
  <c r="L466" i="1"/>
  <c r="H466" i="1"/>
  <c r="J503" i="1"/>
  <c r="K503" i="1"/>
  <c r="L503" i="1"/>
  <c r="I503" i="1"/>
  <c r="I512" i="1"/>
  <c r="K512" i="1"/>
  <c r="L512" i="1"/>
  <c r="H512" i="1"/>
  <c r="I533" i="1"/>
  <c r="J533" i="1"/>
  <c r="L533" i="1"/>
  <c r="H533" i="1"/>
  <c r="A29" i="3"/>
  <c r="H511" i="1" l="1"/>
  <c r="J511" i="1"/>
  <c r="L511" i="1"/>
  <c r="I511" i="1"/>
  <c r="H56" i="1" l="1"/>
  <c r="H55" i="1"/>
  <c r="P2284" i="2"/>
  <c r="J1781" i="2"/>
  <c r="K1781" i="2"/>
  <c r="L1781" i="2"/>
  <c r="I1781" i="2"/>
  <c r="T1781" i="2" s="1"/>
  <c r="M1369" i="2"/>
  <c r="J1322" i="2"/>
  <c r="K1322" i="2"/>
  <c r="L1322" i="2"/>
  <c r="M1322" i="2"/>
  <c r="I1322" i="2"/>
  <c r="T1322" i="2" s="1"/>
  <c r="M1304" i="2"/>
  <c r="M1269" i="2"/>
  <c r="M1229" i="2"/>
  <c r="M1197" i="2"/>
  <c r="M1173" i="2"/>
  <c r="M1098" i="2"/>
  <c r="M1115" i="2"/>
  <c r="M1122" i="2"/>
  <c r="I1076" i="2"/>
  <c r="T1076" i="2" s="1"/>
  <c r="I1075" i="2"/>
  <c r="T1075" i="2" s="1"/>
  <c r="K350" i="2"/>
  <c r="K346" i="2" s="1"/>
  <c r="L350" i="2"/>
  <c r="L346" i="2" s="1"/>
  <c r="M350" i="2"/>
  <c r="M346" i="2" s="1"/>
  <c r="I333" i="2"/>
  <c r="T333" i="2" s="1"/>
  <c r="I338" i="2"/>
  <c r="T338" i="2" s="1"/>
  <c r="I89" i="2"/>
  <c r="T89" i="2" s="1"/>
  <c r="H52" i="1" l="1"/>
  <c r="I330" i="2"/>
  <c r="H397" i="1"/>
  <c r="H451" i="1"/>
  <c r="I73" i="13" l="1"/>
  <c r="M73" i="13" s="1"/>
  <c r="T330" i="2"/>
  <c r="I246" i="2"/>
  <c r="T246" i="2" s="1"/>
  <c r="I267" i="2"/>
  <c r="T267" i="2" s="1"/>
  <c r="I268" i="2"/>
  <c r="T268" i="2" s="1"/>
  <c r="I242" i="2"/>
  <c r="T242" i="2" s="1"/>
  <c r="I241" i="2"/>
  <c r="T241" i="2" s="1"/>
  <c r="N447" i="2" l="1"/>
  <c r="T447" i="2" s="1"/>
  <c r="N445" i="2"/>
  <c r="T445" i="2" s="1"/>
  <c r="N273" i="2"/>
  <c r="T273" i="2" s="1"/>
  <c r="N231" i="2"/>
  <c r="N212" i="2"/>
  <c r="T212" i="2" s="1"/>
  <c r="N186" i="2"/>
  <c r="I2513" i="2"/>
  <c r="T2513" i="2" s="1"/>
  <c r="I2515" i="2"/>
  <c r="T2515" i="2" s="1"/>
  <c r="I1665" i="2"/>
  <c r="T1665" i="2" s="1"/>
  <c r="I1619" i="2"/>
  <c r="T1619" i="2" s="1"/>
  <c r="N185" i="2" l="1"/>
  <c r="T185" i="2" s="1"/>
  <c r="T186" i="2"/>
  <c r="N219" i="2"/>
  <c r="T231" i="2"/>
  <c r="N2120" i="2"/>
  <c r="T2121" i="2"/>
  <c r="N206" i="2"/>
  <c r="N564" i="2"/>
  <c r="N444" i="2"/>
  <c r="T444" i="2" s="1"/>
  <c r="I2509" i="2"/>
  <c r="I248" i="2"/>
  <c r="T248" i="2" s="1"/>
  <c r="N196" i="2" l="1"/>
  <c r="K57" i="13" s="1"/>
  <c r="T206" i="2"/>
  <c r="I209" i="13"/>
  <c r="M209" i="13" s="1"/>
  <c r="T2509" i="2"/>
  <c r="N2116" i="2"/>
  <c r="T2120" i="2"/>
  <c r="N72" i="2"/>
  <c r="T72" i="2" s="1"/>
  <c r="N74" i="2"/>
  <c r="T74" i="2" s="1"/>
  <c r="N57" i="2"/>
  <c r="T57" i="2" s="1"/>
  <c r="N29" i="2"/>
  <c r="N24" i="2"/>
  <c r="N19" i="2"/>
  <c r="N10" i="2"/>
  <c r="I2425" i="2"/>
  <c r="T2425" i="2" s="1"/>
  <c r="N272" i="2"/>
  <c r="I1984" i="2"/>
  <c r="T1984" i="2" s="1"/>
  <c r="N271" i="2" l="1"/>
  <c r="T271" i="2" s="1"/>
  <c r="T272" i="2"/>
  <c r="K165" i="13"/>
  <c r="M165" i="13" s="1"/>
  <c r="T2116" i="2"/>
  <c r="N71" i="2"/>
  <c r="N53" i="2"/>
  <c r="N9" i="2"/>
  <c r="N42" i="2" l="1"/>
  <c r="K17" i="13" s="1"/>
  <c r="T53" i="2"/>
  <c r="N60" i="2"/>
  <c r="K18" i="13" s="1"/>
  <c r="T71" i="2"/>
  <c r="I1209" i="2"/>
  <c r="T1209" i="2" s="1"/>
  <c r="I927" i="2"/>
  <c r="I265" i="2"/>
  <c r="I459" i="1"/>
  <c r="J459" i="1"/>
  <c r="K459" i="1"/>
  <c r="L459" i="1"/>
  <c r="H459" i="1"/>
  <c r="L451" i="1"/>
  <c r="I451" i="1"/>
  <c r="K451" i="1"/>
  <c r="I437" i="1"/>
  <c r="J437" i="1"/>
  <c r="K437" i="1"/>
  <c r="L437" i="1"/>
  <c r="H437" i="1"/>
  <c r="I423" i="1"/>
  <c r="J423" i="1"/>
  <c r="K423" i="1"/>
  <c r="L423" i="1"/>
  <c r="H423" i="1"/>
  <c r="J390" i="1"/>
  <c r="K390" i="1"/>
  <c r="L390" i="1"/>
  <c r="I390" i="1"/>
  <c r="I383" i="1"/>
  <c r="J383" i="1"/>
  <c r="K383" i="1"/>
  <c r="L383" i="1"/>
  <c r="H383" i="1"/>
  <c r="J282" i="1"/>
  <c r="K282" i="1"/>
  <c r="L282" i="1"/>
  <c r="I282" i="1"/>
  <c r="I259" i="1"/>
  <c r="J259" i="1"/>
  <c r="K259" i="1"/>
  <c r="L259" i="1"/>
  <c r="H259" i="1"/>
  <c r="I251" i="1"/>
  <c r="J251" i="1"/>
  <c r="K251" i="1"/>
  <c r="L251" i="1"/>
  <c r="H251" i="1"/>
  <c r="I247" i="1"/>
  <c r="J247" i="1"/>
  <c r="K247" i="1"/>
  <c r="L247" i="1"/>
  <c r="H247" i="1"/>
  <c r="I243" i="1"/>
  <c r="J243" i="1"/>
  <c r="K243" i="1"/>
  <c r="L243" i="1"/>
  <c r="I239" i="1"/>
  <c r="J239" i="1"/>
  <c r="K239" i="1"/>
  <c r="L239" i="1"/>
  <c r="H239" i="1"/>
  <c r="I234" i="1"/>
  <c r="J234" i="1"/>
  <c r="K234" i="1"/>
  <c r="L234" i="1"/>
  <c r="H234" i="1"/>
  <c r="I230" i="1"/>
  <c r="J230" i="1"/>
  <c r="K230" i="1"/>
  <c r="L230" i="1"/>
  <c r="H230" i="1"/>
  <c r="I226" i="1"/>
  <c r="J226" i="1"/>
  <c r="K226" i="1"/>
  <c r="L226" i="1"/>
  <c r="H226" i="1"/>
  <c r="I222" i="1"/>
  <c r="J222" i="1"/>
  <c r="K222" i="1"/>
  <c r="L222" i="1"/>
  <c r="H222" i="1"/>
  <c r="I218" i="1"/>
  <c r="J218" i="1"/>
  <c r="K218" i="1"/>
  <c r="L218" i="1"/>
  <c r="H218" i="1"/>
  <c r="I214" i="1"/>
  <c r="J214" i="1"/>
  <c r="K214" i="1"/>
  <c r="L214" i="1"/>
  <c r="H214" i="1"/>
  <c r="I210" i="1"/>
  <c r="J210" i="1"/>
  <c r="K210" i="1"/>
  <c r="L210" i="1"/>
  <c r="H210" i="1"/>
  <c r="I206" i="1"/>
  <c r="J206" i="1"/>
  <c r="K206" i="1"/>
  <c r="L206" i="1"/>
  <c r="H206" i="1"/>
  <c r="I202" i="1"/>
  <c r="J202" i="1"/>
  <c r="K202" i="1"/>
  <c r="L202" i="1"/>
  <c r="H202" i="1"/>
  <c r="J71" i="1"/>
  <c r="K71" i="1"/>
  <c r="L71" i="1"/>
  <c r="I71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I27" i="1"/>
  <c r="J27" i="1"/>
  <c r="K27" i="1"/>
  <c r="L27" i="1"/>
  <c r="H27" i="1"/>
  <c r="I264" i="2" l="1"/>
  <c r="T265" i="2"/>
  <c r="I924" i="2"/>
  <c r="T924" i="2" s="1"/>
  <c r="T927" i="2"/>
  <c r="K10" i="13"/>
  <c r="B41" i="1"/>
  <c r="B42" i="1" s="1"/>
  <c r="B43" i="1" s="1"/>
  <c r="B44" i="1" s="1"/>
  <c r="B45" i="1" s="1"/>
  <c r="B46" i="1" s="1"/>
  <c r="B47" i="1" s="1"/>
  <c r="B48" i="1" s="1"/>
  <c r="B49" i="1" s="1"/>
  <c r="K512" i="2"/>
  <c r="L512" i="2"/>
  <c r="J512" i="2"/>
  <c r="O2286" i="2"/>
  <c r="P2286" i="2"/>
  <c r="Q2286" i="2"/>
  <c r="R2290" i="2"/>
  <c r="R2286" i="2" s="1"/>
  <c r="N2286" i="2"/>
  <c r="K182" i="13" s="1"/>
  <c r="J2279" i="2"/>
  <c r="J2275" i="2" s="1"/>
  <c r="K2279" i="2"/>
  <c r="K2275" i="2" s="1"/>
  <c r="L2279" i="2"/>
  <c r="L2275" i="2" s="1"/>
  <c r="M2279" i="2"/>
  <c r="M2275" i="2" s="1"/>
  <c r="I2279" i="2"/>
  <c r="R2242" i="2"/>
  <c r="R2241" i="2" s="1"/>
  <c r="Q2242" i="2"/>
  <c r="Q2241" i="2" s="1"/>
  <c r="J2210" i="2"/>
  <c r="L2210" i="2"/>
  <c r="M2210" i="2"/>
  <c r="P2187" i="2"/>
  <c r="P2186" i="2" s="1"/>
  <c r="J2053" i="2"/>
  <c r="K2053" i="2"/>
  <c r="L2053" i="2"/>
  <c r="I2053" i="2"/>
  <c r="T2053" i="2" s="1"/>
  <c r="M2071" i="2"/>
  <c r="M2053" i="2" s="1"/>
  <c r="R2586" i="2"/>
  <c r="N2584" i="2"/>
  <c r="I2581" i="2"/>
  <c r="T2581" i="2" s="1"/>
  <c r="O2490" i="2"/>
  <c r="P2490" i="2"/>
  <c r="Q2490" i="2"/>
  <c r="I2480" i="2"/>
  <c r="I2443" i="2"/>
  <c r="J2424" i="2"/>
  <c r="K2424" i="2"/>
  <c r="M2424" i="2"/>
  <c r="I2424" i="2"/>
  <c r="T2424" i="2" s="1"/>
  <c r="J2415" i="2"/>
  <c r="J2411" i="2" s="1"/>
  <c r="J2407" i="2" s="1"/>
  <c r="K2415" i="2"/>
  <c r="K2411" i="2" s="1"/>
  <c r="K2407" i="2" s="1"/>
  <c r="L2415" i="2"/>
  <c r="L2411" i="2" s="1"/>
  <c r="L2407" i="2" s="1"/>
  <c r="M2415" i="2"/>
  <c r="M2411" i="2" s="1"/>
  <c r="M2407" i="2" s="1"/>
  <c r="I2415" i="2"/>
  <c r="O2384" i="2"/>
  <c r="P2384" i="2"/>
  <c r="Q2384" i="2"/>
  <c r="B50" i="1" l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I2476" i="2"/>
  <c r="T2476" i="2" s="1"/>
  <c r="T2480" i="2"/>
  <c r="E6" i="14"/>
  <c r="N2583" i="2"/>
  <c r="T2584" i="2"/>
  <c r="I2439" i="2"/>
  <c r="T2443" i="2"/>
  <c r="I2411" i="2"/>
  <c r="T2415" i="2"/>
  <c r="I2275" i="2"/>
  <c r="T2275" i="2" s="1"/>
  <c r="T2279" i="2"/>
  <c r="I263" i="2"/>
  <c r="K2393" i="2"/>
  <c r="K2389" i="2" s="1"/>
  <c r="L2393" i="2"/>
  <c r="L2389" i="2" s="1"/>
  <c r="M2393" i="2"/>
  <c r="M2389" i="2" s="1"/>
  <c r="J2393" i="2"/>
  <c r="J2389" i="2" s="1"/>
  <c r="I2393" i="2"/>
  <c r="I2389" i="2" s="1"/>
  <c r="R2404" i="2"/>
  <c r="R2384" i="2" s="1"/>
  <c r="M2404" i="2"/>
  <c r="L2404" i="2"/>
  <c r="K2404" i="2"/>
  <c r="J2404" i="2"/>
  <c r="I2369" i="2"/>
  <c r="T2369" i="2" s="1"/>
  <c r="J2007" i="2"/>
  <c r="J2003" i="2" s="1"/>
  <c r="K2007" i="2"/>
  <c r="K2003" i="2" s="1"/>
  <c r="L2007" i="2"/>
  <c r="L2003" i="2" s="1"/>
  <c r="M2007" i="2"/>
  <c r="M2003" i="2" s="1"/>
  <c r="I2003" i="2"/>
  <c r="T2003" i="2" s="1"/>
  <c r="I1980" i="2"/>
  <c r="T1980" i="2" s="1"/>
  <c r="Q1969" i="2"/>
  <c r="J1962" i="2"/>
  <c r="K1962" i="2"/>
  <c r="L1962" i="2"/>
  <c r="L1959" i="2" s="1"/>
  <c r="M1962" i="2"/>
  <c r="M1959" i="2" s="1"/>
  <c r="T1962" i="2"/>
  <c r="O1953" i="2"/>
  <c r="P1953" i="2"/>
  <c r="Q1953" i="2"/>
  <c r="J1945" i="2"/>
  <c r="L1945" i="2"/>
  <c r="M1945" i="2"/>
  <c r="I1945" i="2"/>
  <c r="T1945" i="2" s="1"/>
  <c r="J1935" i="2"/>
  <c r="J1932" i="2" s="1"/>
  <c r="K1935" i="2"/>
  <c r="K1932" i="2" s="1"/>
  <c r="L1935" i="2"/>
  <c r="L1932" i="2" s="1"/>
  <c r="M1935" i="2"/>
  <c r="M1932" i="2" s="1"/>
  <c r="I1935" i="2"/>
  <c r="J1920" i="2"/>
  <c r="K1920" i="2"/>
  <c r="L1920" i="2"/>
  <c r="M1920" i="2"/>
  <c r="I1920" i="2"/>
  <c r="T1920" i="2" s="1"/>
  <c r="O1912" i="2"/>
  <c r="O1909" i="2" s="1"/>
  <c r="O1899" i="2" s="1"/>
  <c r="P1912" i="2"/>
  <c r="P1909" i="2" s="1"/>
  <c r="P1899" i="2" s="1"/>
  <c r="Q1912" i="2"/>
  <c r="Q1909" i="2" s="1"/>
  <c r="Q1899" i="2" s="1"/>
  <c r="R1912" i="2"/>
  <c r="R1909" i="2" s="1"/>
  <c r="R1899" i="2" s="1"/>
  <c r="J1901" i="2"/>
  <c r="K1901" i="2"/>
  <c r="L1901" i="2"/>
  <c r="M1901" i="2"/>
  <c r="I1901" i="2"/>
  <c r="T1901" i="2" s="1"/>
  <c r="I1897" i="2"/>
  <c r="T1897" i="2" s="1"/>
  <c r="J1874" i="2"/>
  <c r="K1874" i="2"/>
  <c r="M1889" i="2"/>
  <c r="M1874" i="2" s="1"/>
  <c r="B86" i="1" l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T2389" i="2"/>
  <c r="T2393" i="2"/>
  <c r="I2434" i="2"/>
  <c r="T2439" i="2"/>
  <c r="I1932" i="2"/>
  <c r="T1932" i="2" s="1"/>
  <c r="T1935" i="2"/>
  <c r="I262" i="2"/>
  <c r="I2407" i="2"/>
  <c r="T2411" i="2"/>
  <c r="N2571" i="2"/>
  <c r="T2583" i="2"/>
  <c r="P1949" i="2"/>
  <c r="M1942" i="2"/>
  <c r="L1942" i="2"/>
  <c r="O1949" i="2"/>
  <c r="Q1949" i="2"/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I201" i="13"/>
  <c r="M201" i="13" s="1"/>
  <c r="T2407" i="2"/>
  <c r="I204" i="13"/>
  <c r="M204" i="13" s="1"/>
  <c r="T2434" i="2"/>
  <c r="K223" i="13"/>
  <c r="I261" i="2"/>
  <c r="L1889" i="2"/>
  <c r="L1874" i="2" s="1"/>
  <c r="B127" i="1" l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I60" i="13"/>
  <c r="K220" i="13"/>
  <c r="I1875" i="2"/>
  <c r="T1875" i="2" s="1"/>
  <c r="I1877" i="2"/>
  <c r="T1877" i="2" s="1"/>
  <c r="I1876" i="2"/>
  <c r="T1876" i="2" s="1"/>
  <c r="B153" i="1" l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K219" i="13"/>
  <c r="I1874" i="2"/>
  <c r="T1874" i="2" s="1"/>
  <c r="B183" i="1" l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E17" i="14"/>
  <c r="I1867" i="2"/>
  <c r="I1862" i="2" l="1"/>
  <c r="T1867" i="2"/>
  <c r="I13" i="2"/>
  <c r="I10" i="2" l="1"/>
  <c r="T13" i="2"/>
  <c r="T1862" i="2"/>
  <c r="I139" i="13"/>
  <c r="M139" i="13" s="1"/>
  <c r="B283" i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H183" i="1"/>
  <c r="H182" i="1" s="1"/>
  <c r="H180" i="1"/>
  <c r="H179" i="1" s="1"/>
  <c r="H132" i="1"/>
  <c r="H131" i="1" s="1"/>
  <c r="H130" i="1" s="1"/>
  <c r="I2568" i="2"/>
  <c r="T2568" i="2" s="1"/>
  <c r="I2565" i="2"/>
  <c r="T2565" i="2" s="1"/>
  <c r="I2368" i="2"/>
  <c r="T2368" i="2" s="1"/>
  <c r="H615" i="1"/>
  <c r="H617" i="1"/>
  <c r="H623" i="1"/>
  <c r="H627" i="1"/>
  <c r="H626" i="1" s="1"/>
  <c r="H604" i="1"/>
  <c r="H603" i="1" s="1"/>
  <c r="H602" i="1" s="1"/>
  <c r="H601" i="1" s="1"/>
  <c r="H599" i="1"/>
  <c r="H598" i="1" s="1"/>
  <c r="H597" i="1" s="1"/>
  <c r="H596" i="1" s="1"/>
  <c r="H591" i="1"/>
  <c r="H594" i="1"/>
  <c r="H593" i="1" s="1"/>
  <c r="H584" i="1"/>
  <c r="H587" i="1"/>
  <c r="H586" i="1" s="1"/>
  <c r="H577" i="1"/>
  <c r="H580" i="1"/>
  <c r="H579" i="1" s="1"/>
  <c r="H569" i="1"/>
  <c r="H572" i="1"/>
  <c r="H571" i="1" s="1"/>
  <c r="H565" i="1"/>
  <c r="H562" i="1" s="1"/>
  <c r="H561" i="1" s="1"/>
  <c r="H557" i="1"/>
  <c r="H559" i="1"/>
  <c r="H552" i="1"/>
  <c r="H551" i="1" s="1"/>
  <c r="H550" i="1" s="1"/>
  <c r="H509" i="1"/>
  <c r="H508" i="1" s="1"/>
  <c r="H494" i="1"/>
  <c r="H493" i="1" s="1"/>
  <c r="H497" i="1"/>
  <c r="H496" i="1" s="1"/>
  <c r="H500" i="1"/>
  <c r="H499" i="1" s="1"/>
  <c r="H503" i="1"/>
  <c r="H502" i="1" s="1"/>
  <c r="H478" i="1"/>
  <c r="H477" i="1" s="1"/>
  <c r="H481" i="1"/>
  <c r="H480" i="1" s="1"/>
  <c r="H486" i="1"/>
  <c r="H485" i="1" s="1"/>
  <c r="H489" i="1"/>
  <c r="H488" i="1" s="1"/>
  <c r="H463" i="1"/>
  <c r="H462" i="1" s="1"/>
  <c r="H465" i="1"/>
  <c r="H470" i="1"/>
  <c r="H469" i="1" s="1"/>
  <c r="H473" i="1"/>
  <c r="H472" i="1" s="1"/>
  <c r="H448" i="1"/>
  <c r="H447" i="1" s="1"/>
  <c r="H450" i="1"/>
  <c r="H456" i="1"/>
  <c r="H455" i="1" s="1"/>
  <c r="H458" i="1"/>
  <c r="H434" i="1"/>
  <c r="H433" i="1" s="1"/>
  <c r="H436" i="1"/>
  <c r="H441" i="1"/>
  <c r="H440" i="1" s="1"/>
  <c r="H444" i="1"/>
  <c r="H443" i="1" s="1"/>
  <c r="H420" i="1"/>
  <c r="H419" i="1" s="1"/>
  <c r="H422" i="1"/>
  <c r="H427" i="1"/>
  <c r="H426" i="1" s="1"/>
  <c r="H430" i="1"/>
  <c r="H429" i="1" s="1"/>
  <c r="H407" i="1"/>
  <c r="H406" i="1" s="1"/>
  <c r="H410" i="1"/>
  <c r="H409" i="1" s="1"/>
  <c r="H413" i="1"/>
  <c r="H412" i="1" s="1"/>
  <c r="H416" i="1"/>
  <c r="H415" i="1" s="1"/>
  <c r="H394" i="1"/>
  <c r="H393" i="1" s="1"/>
  <c r="H396" i="1"/>
  <c r="H402" i="1"/>
  <c r="H401" i="1" s="1"/>
  <c r="H380" i="1"/>
  <c r="H379" i="1" s="1"/>
  <c r="H382" i="1"/>
  <c r="H387" i="1"/>
  <c r="H386" i="1" s="1"/>
  <c r="H390" i="1"/>
  <c r="H389" i="1" s="1"/>
  <c r="H376" i="1"/>
  <c r="H375" i="1" s="1"/>
  <c r="H374" i="1" s="1"/>
  <c r="H372" i="1"/>
  <c r="H371" i="1" s="1"/>
  <c r="H370" i="1" s="1"/>
  <c r="H368" i="1"/>
  <c r="H366" i="1" s="1"/>
  <c r="H364" i="1"/>
  <c r="H363" i="1" s="1"/>
  <c r="H362" i="1" s="1"/>
  <c r="H360" i="1"/>
  <c r="H359" i="1" s="1"/>
  <c r="H358" i="1" s="1"/>
  <c r="H356" i="1"/>
  <c r="H355" i="1" s="1"/>
  <c r="H354" i="1" s="1"/>
  <c r="H352" i="1"/>
  <c r="H351" i="1" s="1"/>
  <c r="H350" i="1" s="1"/>
  <c r="H348" i="1"/>
  <c r="H347" i="1" s="1"/>
  <c r="H346" i="1" s="1"/>
  <c r="H344" i="1"/>
  <c r="H343" i="1" s="1"/>
  <c r="H342" i="1" s="1"/>
  <c r="H340" i="1"/>
  <c r="H339" i="1" s="1"/>
  <c r="H338" i="1" s="1"/>
  <c r="H336" i="1"/>
  <c r="H335" i="1" s="1"/>
  <c r="H334" i="1" s="1"/>
  <c r="H332" i="1"/>
  <c r="H331" i="1" s="1"/>
  <c r="H330" i="1" s="1"/>
  <c r="H328" i="1"/>
  <c r="H327" i="1" s="1"/>
  <c r="H326" i="1" s="1"/>
  <c r="H324" i="1"/>
  <c r="H323" i="1" s="1"/>
  <c r="H322" i="1" s="1"/>
  <c r="H320" i="1"/>
  <c r="H319" i="1" s="1"/>
  <c r="H318" i="1" s="1"/>
  <c r="H316" i="1"/>
  <c r="H315" i="1" s="1"/>
  <c r="H314" i="1" s="1"/>
  <c r="H312" i="1"/>
  <c r="H311" i="1" s="1"/>
  <c r="H310" i="1" s="1"/>
  <c r="H308" i="1"/>
  <c r="H307" i="1" s="1"/>
  <c r="H306" i="1" s="1"/>
  <c r="H304" i="1"/>
  <c r="H303" i="1" s="1"/>
  <c r="H302" i="1" s="1"/>
  <c r="H300" i="1"/>
  <c r="H299" i="1" s="1"/>
  <c r="H298" i="1" s="1"/>
  <c r="H296" i="1"/>
  <c r="H295" i="1" s="1"/>
  <c r="H294" i="1" s="1"/>
  <c r="H292" i="1"/>
  <c r="H291" i="1" s="1"/>
  <c r="H290" i="1" s="1"/>
  <c r="H288" i="1"/>
  <c r="H287" i="1" s="1"/>
  <c r="H286" i="1" s="1"/>
  <c r="H282" i="1"/>
  <c r="H281" i="1" s="1"/>
  <c r="H278" i="1"/>
  <c r="H267" i="1"/>
  <c r="H266" i="1" s="1"/>
  <c r="H270" i="1"/>
  <c r="H269" i="1" s="1"/>
  <c r="H273" i="1"/>
  <c r="H272" i="1" s="1"/>
  <c r="H263" i="1"/>
  <c r="H262" i="1" s="1"/>
  <c r="H261" i="1" s="1"/>
  <c r="H258" i="1"/>
  <c r="H257" i="1" s="1"/>
  <c r="H255" i="1"/>
  <c r="H254" i="1" s="1"/>
  <c r="H253" i="1" s="1"/>
  <c r="H250" i="1"/>
  <c r="H249" i="1" s="1"/>
  <c r="H246" i="1"/>
  <c r="H245" i="1" s="1"/>
  <c r="H243" i="1"/>
  <c r="H242" i="1" s="1"/>
  <c r="H241" i="1" s="1"/>
  <c r="H238" i="1"/>
  <c r="H237" i="1" s="1"/>
  <c r="H233" i="1"/>
  <c r="H232" i="1" s="1"/>
  <c r="H229" i="1"/>
  <c r="H228" i="1" s="1"/>
  <c r="H225" i="1"/>
  <c r="H224" i="1" s="1"/>
  <c r="H221" i="1"/>
  <c r="H220" i="1" s="1"/>
  <c r="H217" i="1"/>
  <c r="H216" i="1" s="1"/>
  <c r="H213" i="1"/>
  <c r="H212" i="1" s="1"/>
  <c r="H209" i="1"/>
  <c r="H208" i="1" s="1"/>
  <c r="H205" i="1"/>
  <c r="H204" i="1" s="1"/>
  <c r="H201" i="1"/>
  <c r="H200" i="1" s="1"/>
  <c r="H195" i="1"/>
  <c r="H194" i="1" s="1"/>
  <c r="H198" i="1"/>
  <c r="H197" i="1" s="1"/>
  <c r="H187" i="1"/>
  <c r="H186" i="1" s="1"/>
  <c r="H190" i="1"/>
  <c r="H189" i="1" s="1"/>
  <c r="H176" i="1"/>
  <c r="H175" i="1" s="1"/>
  <c r="H172" i="1"/>
  <c r="H171" i="1" s="1"/>
  <c r="H165" i="1"/>
  <c r="H164" i="1" s="1"/>
  <c r="H168" i="1"/>
  <c r="H167" i="1" s="1"/>
  <c r="H161" i="1"/>
  <c r="H160" i="1" s="1"/>
  <c r="H159" i="1" s="1"/>
  <c r="H151" i="1"/>
  <c r="H150" i="1" s="1"/>
  <c r="H157" i="1"/>
  <c r="H156" i="1" s="1"/>
  <c r="H147" i="1"/>
  <c r="H146" i="1" s="1"/>
  <c r="H143" i="1"/>
  <c r="H142" i="1" s="1"/>
  <c r="H139" i="1"/>
  <c r="H138" i="1" s="1"/>
  <c r="H136" i="1"/>
  <c r="H135" i="1" s="1"/>
  <c r="H128" i="1"/>
  <c r="H127" i="1" s="1"/>
  <c r="H126" i="1" s="1"/>
  <c r="H118" i="1"/>
  <c r="H117" i="1" s="1"/>
  <c r="H124" i="1"/>
  <c r="H123" i="1" s="1"/>
  <c r="H114" i="1"/>
  <c r="H113" i="1" s="1"/>
  <c r="H112" i="1" s="1"/>
  <c r="H107" i="1"/>
  <c r="H106" i="1" s="1"/>
  <c r="H110" i="1"/>
  <c r="H109" i="1" s="1"/>
  <c r="H103" i="1"/>
  <c r="H102" i="1" s="1"/>
  <c r="H101" i="1" s="1"/>
  <c r="H99" i="1"/>
  <c r="H98" i="1" s="1"/>
  <c r="H96" i="1"/>
  <c r="H95" i="1" s="1"/>
  <c r="H92" i="1"/>
  <c r="H91" i="1" s="1"/>
  <c r="H90" i="1" s="1"/>
  <c r="H85" i="1"/>
  <c r="H84" i="1" s="1"/>
  <c r="H88" i="1"/>
  <c r="H87" i="1" s="1"/>
  <c r="H81" i="1"/>
  <c r="H80" i="1" s="1"/>
  <c r="H79" i="1" s="1"/>
  <c r="H77" i="1"/>
  <c r="H76" i="1" s="1"/>
  <c r="H75" i="1" s="1"/>
  <c r="H71" i="1"/>
  <c r="H70" i="1" s="1"/>
  <c r="H67" i="1"/>
  <c r="H65" i="1"/>
  <c r="H64" i="1" s="1"/>
  <c r="H60" i="1"/>
  <c r="H59" i="1" s="1"/>
  <c r="H58" i="1" s="1"/>
  <c r="H47" i="1"/>
  <c r="H49" i="1"/>
  <c r="H44" i="1"/>
  <c r="H37" i="1"/>
  <c r="H34" i="1"/>
  <c r="H29" i="1"/>
  <c r="H51" i="1"/>
  <c r="I2295" i="2"/>
  <c r="T2295" i="2" s="1"/>
  <c r="I2294" i="2"/>
  <c r="T2294" i="2" s="1"/>
  <c r="N1969" i="2"/>
  <c r="H265" i="1" l="1"/>
  <c r="H185" i="1"/>
  <c r="H170" i="1"/>
  <c r="H94" i="1"/>
  <c r="N1959" i="2"/>
  <c r="N1942" i="2" s="1"/>
  <c r="K145" i="13" s="1"/>
  <c r="T1969" i="2"/>
  <c r="I12" i="13"/>
  <c r="T10" i="2"/>
  <c r="H149" i="1"/>
  <c r="H178" i="1"/>
  <c r="H141" i="1"/>
  <c r="H134" i="1"/>
  <c r="H116" i="1"/>
  <c r="H105" i="1"/>
  <c r="H83" i="1"/>
  <c r="I2365" i="2"/>
  <c r="B295" i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H63" i="1"/>
  <c r="H46" i="1"/>
  <c r="H614" i="1"/>
  <c r="H613" i="1" s="1"/>
  <c r="H612" i="1" s="1"/>
  <c r="I2562" i="2"/>
  <c r="H590" i="1"/>
  <c r="H589" i="1" s="1"/>
  <c r="H576" i="1"/>
  <c r="H575" i="1" s="1"/>
  <c r="H568" i="1"/>
  <c r="H567" i="1" s="1"/>
  <c r="H583" i="1"/>
  <c r="H582" i="1" s="1"/>
  <c r="H367" i="1"/>
  <c r="H193" i="1"/>
  <c r="H163" i="1"/>
  <c r="H446" i="1"/>
  <c r="H476" i="1"/>
  <c r="H378" i="1"/>
  <c r="H405" i="1"/>
  <c r="H556" i="1"/>
  <c r="H555" i="1" s="1"/>
  <c r="H554" i="1" s="1"/>
  <c r="H418" i="1"/>
  <c r="H622" i="1"/>
  <c r="H621" i="1" s="1"/>
  <c r="H432" i="1"/>
  <c r="H461" i="1"/>
  <c r="H492" i="1"/>
  <c r="H392" i="1"/>
  <c r="H507" i="1"/>
  <c r="H277" i="1"/>
  <c r="H276" i="1" s="1"/>
  <c r="H26" i="1"/>
  <c r="H33" i="1"/>
  <c r="H62" i="1" l="1"/>
  <c r="H192" i="1"/>
  <c r="I2363" i="2"/>
  <c r="T2365" i="2"/>
  <c r="M12" i="13"/>
  <c r="I221" i="13"/>
  <c r="T2562" i="2"/>
  <c r="H25" i="1"/>
  <c r="M221" i="13" l="1"/>
  <c r="I198" i="13"/>
  <c r="T2363" i="2"/>
  <c r="I1986" i="2"/>
  <c r="I1976" i="2"/>
  <c r="I1959" i="2"/>
  <c r="M198" i="13" l="1"/>
  <c r="T1986" i="2"/>
  <c r="I147" i="13"/>
  <c r="M147" i="13" s="1"/>
  <c r="I1973" i="2"/>
  <c r="T1976" i="2"/>
  <c r="I1942" i="2"/>
  <c r="T1959" i="2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I1891" i="2"/>
  <c r="I1917" i="2"/>
  <c r="I1906" i="2"/>
  <c r="I1798" i="2"/>
  <c r="T1798" i="2" s="1"/>
  <c r="I1777" i="2"/>
  <c r="T1777" i="2" s="1"/>
  <c r="I1790" i="2"/>
  <c r="T1790" i="2" s="1"/>
  <c r="I1792" i="2"/>
  <c r="T1792" i="2" s="1"/>
  <c r="I1775" i="2"/>
  <c r="T1775" i="2" s="1"/>
  <c r="I1751" i="2"/>
  <c r="T1751" i="2" s="1"/>
  <c r="I1762" i="2"/>
  <c r="T1762" i="2" s="1"/>
  <c r="I1726" i="2"/>
  <c r="T1726" i="2" s="1"/>
  <c r="I1735" i="2"/>
  <c r="T1735" i="2" s="1"/>
  <c r="I1704" i="2"/>
  <c r="T1704" i="2" s="1"/>
  <c r="I1713" i="2"/>
  <c r="T1713" i="2" s="1"/>
  <c r="I1684" i="2"/>
  <c r="T1684" i="2" s="1"/>
  <c r="I1692" i="2"/>
  <c r="T1692" i="2" s="1"/>
  <c r="I1674" i="2"/>
  <c r="T1674" i="2" s="1"/>
  <c r="I1657" i="2"/>
  <c r="T1657" i="2" s="1"/>
  <c r="I1655" i="2"/>
  <c r="T1655" i="2" s="1"/>
  <c r="I1639" i="2"/>
  <c r="T1639" i="2" s="1"/>
  <c r="I1647" i="2"/>
  <c r="T1647" i="2" s="1"/>
  <c r="I1627" i="2"/>
  <c r="I1606" i="2"/>
  <c r="T1606" i="2" s="1"/>
  <c r="I1596" i="2"/>
  <c r="T1596" i="2" s="1"/>
  <c r="I1588" i="2"/>
  <c r="I1579" i="2"/>
  <c r="I1570" i="2"/>
  <c r="I1560" i="2"/>
  <c r="T1560" i="2" s="1"/>
  <c r="I1565" i="2"/>
  <c r="T1565" i="2" s="1"/>
  <c r="I1550" i="2"/>
  <c r="T1550" i="2" s="1"/>
  <c r="I1539" i="2"/>
  <c r="T1539" i="2" s="1"/>
  <c r="I1529" i="2"/>
  <c r="T1529" i="2" s="1"/>
  <c r="I1519" i="2"/>
  <c r="T1519" i="2" s="1"/>
  <c r="I1512" i="2"/>
  <c r="I1504" i="2"/>
  <c r="I1494" i="2"/>
  <c r="T1494" i="2" s="1"/>
  <c r="I1484" i="2"/>
  <c r="T1484" i="2" s="1"/>
  <c r="I1471" i="2"/>
  <c r="I1458" i="2"/>
  <c r="I1449" i="2"/>
  <c r="I1440" i="2"/>
  <c r="I1431" i="2"/>
  <c r="I1422" i="2"/>
  <c r="I1413" i="2"/>
  <c r="I1404" i="2"/>
  <c r="I1395" i="2"/>
  <c r="I1386" i="2"/>
  <c r="I1378" i="2"/>
  <c r="T1378" i="2" s="1"/>
  <c r="I1366" i="2"/>
  <c r="I1348" i="2"/>
  <c r="T1348" i="2" s="1"/>
  <c r="I1313" i="2"/>
  <c r="T1313" i="2" s="1"/>
  <c r="I1330" i="2"/>
  <c r="T1330" i="2" s="1"/>
  <c r="I1281" i="2"/>
  <c r="T1281" i="2" s="1"/>
  <c r="I1292" i="2"/>
  <c r="T1292" i="2" s="1"/>
  <c r="I1302" i="2"/>
  <c r="T1302" i="2" s="1"/>
  <c r="I1247" i="2"/>
  <c r="T1247" i="2" s="1"/>
  <c r="I1257" i="2"/>
  <c r="T1257" i="2" s="1"/>
  <c r="I1266" i="2"/>
  <c r="T1266" i="2" s="1"/>
  <c r="I1219" i="2"/>
  <c r="T1219" i="2" s="1"/>
  <c r="I1227" i="2"/>
  <c r="T1227" i="2" s="1"/>
  <c r="I1187" i="2"/>
  <c r="T1187" i="2" s="1"/>
  <c r="I1195" i="2"/>
  <c r="T1195" i="2" s="1"/>
  <c r="I1178" i="2"/>
  <c r="T1178" i="2" s="1"/>
  <c r="I1161" i="2"/>
  <c r="T1161" i="2" s="1"/>
  <c r="I1151" i="2"/>
  <c r="T1151" i="2" s="1"/>
  <c r="I1170" i="2"/>
  <c r="T1170" i="2" s="1"/>
  <c r="I1120" i="2"/>
  <c r="T1120" i="2" s="1"/>
  <c r="I1129" i="2"/>
  <c r="T1129" i="2" s="1"/>
  <c r="I1136" i="2"/>
  <c r="T1136" i="2" s="1"/>
  <c r="I1105" i="2"/>
  <c r="T1105" i="2" s="1"/>
  <c r="I1113" i="2"/>
  <c r="T1113" i="2" s="1"/>
  <c r="I1095" i="2"/>
  <c r="T1095" i="2" s="1"/>
  <c r="I1077" i="2"/>
  <c r="I1454" i="2" l="1"/>
  <c r="T1454" i="2" s="1"/>
  <c r="T1458" i="2"/>
  <c r="I1899" i="2"/>
  <c r="T1906" i="2"/>
  <c r="I1391" i="2"/>
  <c r="T1391" i="2" s="1"/>
  <c r="T1395" i="2"/>
  <c r="I1427" i="2"/>
  <c r="T1427" i="2" s="1"/>
  <c r="T1431" i="2"/>
  <c r="I1470" i="2"/>
  <c r="T1470" i="2" s="1"/>
  <c r="T1471" i="2"/>
  <c r="I1509" i="2"/>
  <c r="T1509" i="2" s="1"/>
  <c r="T1512" i="2"/>
  <c r="I1576" i="2"/>
  <c r="T1576" i="2" s="1"/>
  <c r="T1579" i="2"/>
  <c r="I1615" i="2"/>
  <c r="T1615" i="2" s="1"/>
  <c r="T1627" i="2"/>
  <c r="I144" i="13"/>
  <c r="T1942" i="2"/>
  <c r="I145" i="13"/>
  <c r="M145" i="13" s="1"/>
  <c r="I1382" i="2"/>
  <c r="T1382" i="2" s="1"/>
  <c r="T1386" i="2"/>
  <c r="I1501" i="2"/>
  <c r="T1501" i="2" s="1"/>
  <c r="T1504" i="2"/>
  <c r="I1567" i="2"/>
  <c r="T1567" i="2" s="1"/>
  <c r="T1570" i="2"/>
  <c r="I1074" i="2"/>
  <c r="T1077" i="2"/>
  <c r="I1363" i="2"/>
  <c r="T1366" i="2"/>
  <c r="I1400" i="2"/>
  <c r="T1400" i="2" s="1"/>
  <c r="T1404" i="2"/>
  <c r="I1436" i="2"/>
  <c r="T1436" i="2" s="1"/>
  <c r="T1440" i="2"/>
  <c r="I1585" i="2"/>
  <c r="T1585" i="2" s="1"/>
  <c r="T1588" i="2"/>
  <c r="I142" i="13"/>
  <c r="I1418" i="2"/>
  <c r="T1418" i="2" s="1"/>
  <c r="T1422" i="2"/>
  <c r="I1409" i="2"/>
  <c r="T1409" i="2" s="1"/>
  <c r="T1413" i="2"/>
  <c r="I1445" i="2"/>
  <c r="T1445" i="2" s="1"/>
  <c r="T1449" i="2"/>
  <c r="I146" i="13"/>
  <c r="M146" i="13" s="1"/>
  <c r="T1973" i="2"/>
  <c r="I1117" i="2"/>
  <c r="I1774" i="2"/>
  <c r="T1774" i="2" s="1"/>
  <c r="I1794" i="2"/>
  <c r="T1794" i="2" s="1"/>
  <c r="I1795" i="2"/>
  <c r="T1795" i="2" s="1"/>
  <c r="I1310" i="2"/>
  <c r="I1375" i="2"/>
  <c r="I1175" i="2"/>
  <c r="I1278" i="2"/>
  <c r="I1244" i="2"/>
  <c r="I1206" i="2"/>
  <c r="T1206" i="2" s="1"/>
  <c r="I1148" i="2"/>
  <c r="I1092" i="2"/>
  <c r="B413" i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I1481" i="2"/>
  <c r="T1481" i="2" s="1"/>
  <c r="I1603" i="2"/>
  <c r="T1603" i="2" s="1"/>
  <c r="I1536" i="2"/>
  <c r="T1536" i="2" s="1"/>
  <c r="I1516" i="2"/>
  <c r="T1516" i="2" s="1"/>
  <c r="I1635" i="2"/>
  <c r="T1635" i="2" s="1"/>
  <c r="I1680" i="2"/>
  <c r="T1680" i="2" s="1"/>
  <c r="I1653" i="2"/>
  <c r="T1653" i="2" s="1"/>
  <c r="I1747" i="2"/>
  <c r="T1747" i="2" s="1"/>
  <c r="I1557" i="2"/>
  <c r="T1557" i="2" s="1"/>
  <c r="I1593" i="2"/>
  <c r="T1593" i="2" s="1"/>
  <c r="I1526" i="2"/>
  <c r="T1526" i="2" s="1"/>
  <c r="I1547" i="2"/>
  <c r="T1547" i="2" s="1"/>
  <c r="I1722" i="2"/>
  <c r="T1722" i="2" s="1"/>
  <c r="I1748" i="2"/>
  <c r="T1748" i="2" s="1"/>
  <c r="I1700" i="2"/>
  <c r="T1700" i="2" s="1"/>
  <c r="I1870" i="2"/>
  <c r="I1701" i="2"/>
  <c r="T1701" i="2" s="1"/>
  <c r="I1491" i="2"/>
  <c r="T1491" i="2" s="1"/>
  <c r="T1870" i="2" l="1"/>
  <c r="I140" i="13"/>
  <c r="M140" i="13" s="1"/>
  <c r="I1243" i="2"/>
  <c r="T1243" i="2" s="1"/>
  <c r="T1244" i="2"/>
  <c r="I1309" i="2"/>
  <c r="T1309" i="2" s="1"/>
  <c r="T1310" i="2"/>
  <c r="I1116" i="2"/>
  <c r="T1116" i="2" s="1"/>
  <c r="T1117" i="2"/>
  <c r="I1073" i="2"/>
  <c r="T1073" i="2" s="1"/>
  <c r="T1074" i="2"/>
  <c r="I143" i="13"/>
  <c r="I141" i="13" s="1"/>
  <c r="I1091" i="2"/>
  <c r="T1091" i="2" s="1"/>
  <c r="T1092" i="2"/>
  <c r="I1277" i="2"/>
  <c r="T1277" i="2" s="1"/>
  <c r="T1278" i="2"/>
  <c r="I1374" i="2"/>
  <c r="T1375" i="2"/>
  <c r="I1147" i="2"/>
  <c r="T1147" i="2" s="1"/>
  <c r="T1148" i="2"/>
  <c r="I1174" i="2"/>
  <c r="T1174" i="2" s="1"/>
  <c r="T1175" i="2"/>
  <c r="I1362" i="2"/>
  <c r="T1362" i="2" s="1"/>
  <c r="T1363" i="2"/>
  <c r="I1771" i="2"/>
  <c r="B434" i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I1480" i="2"/>
  <c r="T1480" i="2" s="1"/>
  <c r="I1050" i="2"/>
  <c r="I1036" i="2"/>
  <c r="I1020" i="2"/>
  <c r="T1020" i="2" s="1"/>
  <c r="I1010" i="2"/>
  <c r="I977" i="2"/>
  <c r="I959" i="2"/>
  <c r="I942" i="2"/>
  <c r="I910" i="2"/>
  <c r="I900" i="2"/>
  <c r="I885" i="2"/>
  <c r="I871" i="2"/>
  <c r="I853" i="2"/>
  <c r="I839" i="2"/>
  <c r="I834" i="2"/>
  <c r="T834" i="2" s="1"/>
  <c r="I811" i="2"/>
  <c r="T811" i="2" s="1"/>
  <c r="I796" i="2"/>
  <c r="T796" i="2" s="1"/>
  <c r="I2533" i="2"/>
  <c r="T2533" i="2" s="1"/>
  <c r="I2522" i="2"/>
  <c r="I2507" i="2"/>
  <c r="I2494" i="2"/>
  <c r="I2474" i="2"/>
  <c r="T2474" i="2" s="1"/>
  <c r="I2472" i="2"/>
  <c r="T2472" i="2" s="1"/>
  <c r="I2469" i="2"/>
  <c r="T2469" i="2" s="1"/>
  <c r="I2576" i="2"/>
  <c r="T2576" i="2" s="1"/>
  <c r="I138" i="13" l="1"/>
  <c r="D13" i="14" s="1"/>
  <c r="I2503" i="2"/>
  <c r="T2507" i="2"/>
  <c r="I868" i="2"/>
  <c r="T868" i="2" s="1"/>
  <c r="T871" i="2"/>
  <c r="I939" i="2"/>
  <c r="T939" i="2" s="1"/>
  <c r="T942" i="2"/>
  <c r="I850" i="2"/>
  <c r="T850" i="2" s="1"/>
  <c r="T853" i="2"/>
  <c r="I1007" i="2"/>
  <c r="T1007" i="2" s="1"/>
  <c r="T1010" i="2"/>
  <c r="I2518" i="2"/>
  <c r="T2522" i="2"/>
  <c r="I882" i="2"/>
  <c r="T882" i="2" s="1"/>
  <c r="T885" i="2"/>
  <c r="I956" i="2"/>
  <c r="T956" i="2" s="1"/>
  <c r="T959" i="2"/>
  <c r="I1033" i="2"/>
  <c r="T1033" i="2" s="1"/>
  <c r="T1036" i="2"/>
  <c r="I129" i="13"/>
  <c r="M129" i="13" s="1"/>
  <c r="T1771" i="2"/>
  <c r="I2491" i="2"/>
  <c r="T2494" i="2"/>
  <c r="I907" i="2"/>
  <c r="T907" i="2" s="1"/>
  <c r="T910" i="2"/>
  <c r="I836" i="2"/>
  <c r="T836" i="2" s="1"/>
  <c r="T839" i="2"/>
  <c r="I897" i="2"/>
  <c r="T897" i="2" s="1"/>
  <c r="T900" i="2"/>
  <c r="I974" i="2"/>
  <c r="T974" i="2" s="1"/>
  <c r="T977" i="2"/>
  <c r="I1047" i="2"/>
  <c r="T1047" i="2" s="1"/>
  <c r="T1050" i="2"/>
  <c r="I1341" i="2"/>
  <c r="T1374" i="2"/>
  <c r="B449" i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I2530" i="2"/>
  <c r="I2468" i="2"/>
  <c r="I2571" i="2"/>
  <c r="I2463" i="2"/>
  <c r="I2457" i="2"/>
  <c r="T2457" i="2" s="1"/>
  <c r="I2437" i="2"/>
  <c r="T2437" i="2" s="1"/>
  <c r="I2430" i="2"/>
  <c r="I2388" i="2"/>
  <c r="I2382" i="2"/>
  <c r="I2296" i="2"/>
  <c r="T2296" i="2" s="1"/>
  <c r="I2271" i="2"/>
  <c r="I2269" i="2"/>
  <c r="I2255" i="2"/>
  <c r="T2255" i="2" s="1"/>
  <c r="I2253" i="2"/>
  <c r="T2253" i="2" s="1"/>
  <c r="I2250" i="2"/>
  <c r="T2250" i="2" s="1"/>
  <c r="I2239" i="2"/>
  <c r="I2231" i="2"/>
  <c r="I2200" i="2"/>
  <c r="I2180" i="2"/>
  <c r="T2180" i="2" s="1"/>
  <c r="I2178" i="2"/>
  <c r="T2178" i="2" s="1"/>
  <c r="I2109" i="2"/>
  <c r="I2230" i="2" l="1"/>
  <c r="T2231" i="2"/>
  <c r="I2268" i="2"/>
  <c r="T2269" i="2"/>
  <c r="I2461" i="2"/>
  <c r="T2461" i="2" s="1"/>
  <c r="T2463" i="2"/>
  <c r="I2517" i="2"/>
  <c r="T2518" i="2"/>
  <c r="I2378" i="2"/>
  <c r="T2382" i="2"/>
  <c r="I2236" i="2"/>
  <c r="T2239" i="2"/>
  <c r="I2384" i="2"/>
  <c r="T2388" i="2"/>
  <c r="I181" i="13"/>
  <c r="I2429" i="2"/>
  <c r="T2429" i="2" s="1"/>
  <c r="T2430" i="2"/>
  <c r="I2561" i="2"/>
  <c r="I2560" i="2" s="1"/>
  <c r="I223" i="13"/>
  <c r="T2571" i="2"/>
  <c r="I2108" i="2"/>
  <c r="T2109" i="2"/>
  <c r="I2528" i="2"/>
  <c r="T2530" i="2"/>
  <c r="I2197" i="2"/>
  <c r="T2200" i="2"/>
  <c r="I206" i="13"/>
  <c r="M206" i="13" s="1"/>
  <c r="T2468" i="2"/>
  <c r="I127" i="13"/>
  <c r="M127" i="13" s="1"/>
  <c r="T1341" i="2"/>
  <c r="I2490" i="2"/>
  <c r="T2491" i="2"/>
  <c r="I208" i="13"/>
  <c r="M208" i="13" s="1"/>
  <c r="T2503" i="2"/>
  <c r="I2246" i="2"/>
  <c r="B481" i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I2292" i="2"/>
  <c r="I2454" i="2"/>
  <c r="I2440" i="2"/>
  <c r="T2440" i="2" s="1"/>
  <c r="I2421" i="2"/>
  <c r="I205" i="13" l="1"/>
  <c r="M205" i="13" s="1"/>
  <c r="T2454" i="2"/>
  <c r="I211" i="13"/>
  <c r="M211" i="13" s="1"/>
  <c r="T2528" i="2"/>
  <c r="M223" i="13"/>
  <c r="I220" i="13"/>
  <c r="I178" i="13"/>
  <c r="I210" i="13"/>
  <c r="M210" i="13" s="1"/>
  <c r="T2517" i="2"/>
  <c r="I2264" i="2"/>
  <c r="T2268" i="2"/>
  <c r="I2286" i="2"/>
  <c r="T2292" i="2"/>
  <c r="I2196" i="2"/>
  <c r="I2107" i="2"/>
  <c r="T2107" i="2" s="1"/>
  <c r="T2108" i="2"/>
  <c r="I179" i="13"/>
  <c r="I207" i="13"/>
  <c r="M207" i="13" s="1"/>
  <c r="T2490" i="2"/>
  <c r="I203" i="13"/>
  <c r="T2421" i="2"/>
  <c r="I200" i="13"/>
  <c r="M200" i="13" s="1"/>
  <c r="T2384" i="2"/>
  <c r="I199" i="13"/>
  <c r="T2378" i="2"/>
  <c r="I2228" i="2"/>
  <c r="T2230" i="2"/>
  <c r="I2420" i="2"/>
  <c r="T2420" i="2" s="1"/>
  <c r="I2093" i="2"/>
  <c r="M199" i="13" l="1"/>
  <c r="M203" i="13"/>
  <c r="I202" i="13"/>
  <c r="M202" i="13" s="1"/>
  <c r="I2174" i="2"/>
  <c r="I180" i="13"/>
  <c r="T2264" i="2"/>
  <c r="I2080" i="2"/>
  <c r="T2081" i="2"/>
  <c r="I219" i="13"/>
  <c r="M220" i="13"/>
  <c r="I177" i="13"/>
  <c r="I176" i="13" s="1"/>
  <c r="T2228" i="2"/>
  <c r="I2227" i="2"/>
  <c r="I2091" i="2"/>
  <c r="T2093" i="2"/>
  <c r="I182" i="13"/>
  <c r="T2286" i="2"/>
  <c r="B512" i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D17" i="14" l="1"/>
  <c r="F17" i="14" s="1"/>
  <c r="M219" i="13"/>
  <c r="I175" i="13"/>
  <c r="I174" i="13" s="1"/>
  <c r="D15" i="14" s="1"/>
  <c r="I197" i="13"/>
  <c r="I2088" i="2"/>
  <c r="I2077" i="2"/>
  <c r="T2080" i="2"/>
  <c r="B527" i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I559" i="2"/>
  <c r="I507" i="2"/>
  <c r="T507" i="2" s="1"/>
  <c r="I512" i="2"/>
  <c r="I501" i="2"/>
  <c r="I492" i="2"/>
  <c r="I479" i="2"/>
  <c r="I453" i="2"/>
  <c r="T453" i="2" s="1"/>
  <c r="I442" i="2"/>
  <c r="T442" i="2" s="1"/>
  <c r="I440" i="2"/>
  <c r="T440" i="2" s="1"/>
  <c r="I432" i="2"/>
  <c r="T432" i="2" s="1"/>
  <c r="I391" i="2"/>
  <c r="T391" i="2" s="1"/>
  <c r="I363" i="2"/>
  <c r="I350" i="2"/>
  <c r="I328" i="2"/>
  <c r="T328" i="2" s="1"/>
  <c r="I323" i="2"/>
  <c r="T323" i="2" s="1"/>
  <c r="I315" i="2"/>
  <c r="T315" i="2" s="1"/>
  <c r="I309" i="2"/>
  <c r="T309" i="2" s="1"/>
  <c r="I300" i="2"/>
  <c r="I279" i="2"/>
  <c r="T279" i="2" s="1"/>
  <c r="I259" i="2"/>
  <c r="T259" i="2" s="1"/>
  <c r="I257" i="2"/>
  <c r="T257" i="2" s="1"/>
  <c r="I247" i="2"/>
  <c r="T247" i="2" s="1"/>
  <c r="I244" i="2"/>
  <c r="T244" i="2" s="1"/>
  <c r="I239" i="2"/>
  <c r="T239" i="2" s="1"/>
  <c r="I223" i="2"/>
  <c r="I200" i="2"/>
  <c r="I193" i="2"/>
  <c r="I182" i="2"/>
  <c r="I170" i="2"/>
  <c r="I165" i="2"/>
  <c r="I160" i="2"/>
  <c r="T160" i="2" s="1"/>
  <c r="I138" i="2"/>
  <c r="I135" i="2"/>
  <c r="T135" i="2" s="1"/>
  <c r="I126" i="2"/>
  <c r="T126" i="2" s="1"/>
  <c r="I129" i="2"/>
  <c r="T129" i="2" s="1"/>
  <c r="I46" i="2"/>
  <c r="T46" i="2" s="1"/>
  <c r="I52" i="2"/>
  <c r="I108" i="2"/>
  <c r="T108" i="2" s="1"/>
  <c r="I100" i="2"/>
  <c r="I93" i="2"/>
  <c r="I65" i="2"/>
  <c r="T65" i="2" s="1"/>
  <c r="I22" i="2"/>
  <c r="T200" i="2" l="1"/>
  <c r="I137" i="2"/>
  <c r="T137" i="2" s="1"/>
  <c r="T138" i="2"/>
  <c r="I359" i="2"/>
  <c r="T363" i="2"/>
  <c r="I164" i="13"/>
  <c r="I99" i="2"/>
  <c r="T100" i="2"/>
  <c r="I189" i="2"/>
  <c r="T193" i="2"/>
  <c r="I511" i="2"/>
  <c r="T511" i="2" s="1"/>
  <c r="T512" i="2"/>
  <c r="M197" i="13"/>
  <c r="D16" i="14"/>
  <c r="F16" i="14" s="1"/>
  <c r="I179" i="2"/>
  <c r="T182" i="2"/>
  <c r="I19" i="2"/>
  <c r="T22" i="2"/>
  <c r="I162" i="2"/>
  <c r="T165" i="2"/>
  <c r="I295" i="2"/>
  <c r="T300" i="2"/>
  <c r="I476" i="2"/>
  <c r="I475" i="2" s="1"/>
  <c r="I449" i="2" s="1"/>
  <c r="I88" i="13" s="1"/>
  <c r="T479" i="2"/>
  <c r="I84" i="2"/>
  <c r="T93" i="2"/>
  <c r="I497" i="2"/>
  <c r="T501" i="2"/>
  <c r="I583" i="2"/>
  <c r="T587" i="2"/>
  <c r="I47" i="2"/>
  <c r="T47" i="2" s="1"/>
  <c r="T52" i="2"/>
  <c r="I167" i="2"/>
  <c r="T170" i="2"/>
  <c r="I219" i="2"/>
  <c r="T219" i="2" s="1"/>
  <c r="T223" i="2"/>
  <c r="I346" i="2"/>
  <c r="T346" i="2" s="1"/>
  <c r="T350" i="2"/>
  <c r="I488" i="2"/>
  <c r="T492" i="2"/>
  <c r="I555" i="2"/>
  <c r="T559" i="2"/>
  <c r="I163" i="13"/>
  <c r="M163" i="13" s="1"/>
  <c r="T2077" i="2"/>
  <c r="I387" i="2"/>
  <c r="I122" i="2"/>
  <c r="I159" i="2"/>
  <c r="I275" i="2"/>
  <c r="I278" i="2"/>
  <c r="I131" i="2"/>
  <c r="I303" i="2"/>
  <c r="I60" i="2"/>
  <c r="I426" i="2"/>
  <c r="I87" i="13" s="1"/>
  <c r="I236" i="2"/>
  <c r="I253" i="2"/>
  <c r="I2049" i="2"/>
  <c r="I42" i="2" l="1"/>
  <c r="T42" i="2" s="1"/>
  <c r="I503" i="2"/>
  <c r="T503" i="2" s="1"/>
  <c r="I161" i="2"/>
  <c r="I196" i="2"/>
  <c r="I57" i="13" s="1"/>
  <c r="M57" i="13" s="1"/>
  <c r="I339" i="2"/>
  <c r="I74" i="13" s="1"/>
  <c r="M74" i="13" s="1"/>
  <c r="I277" i="2"/>
  <c r="I233" i="2"/>
  <c r="T236" i="2"/>
  <c r="I71" i="13"/>
  <c r="M71" i="13" s="1"/>
  <c r="T303" i="2"/>
  <c r="I61" i="13"/>
  <c r="I89" i="13"/>
  <c r="M89" i="13" s="1"/>
  <c r="T488" i="2"/>
  <c r="I90" i="13"/>
  <c r="M90" i="13" s="1"/>
  <c r="T497" i="2"/>
  <c r="I53" i="13"/>
  <c r="T162" i="2"/>
  <c r="I55" i="13"/>
  <c r="I95" i="2"/>
  <c r="T99" i="2"/>
  <c r="I75" i="13"/>
  <c r="M75" i="13" s="1"/>
  <c r="T359" i="2"/>
  <c r="I18" i="13"/>
  <c r="M18" i="13" s="1"/>
  <c r="T60" i="2"/>
  <c r="I2048" i="2"/>
  <c r="I162" i="13"/>
  <c r="T2049" i="2"/>
  <c r="I34" i="13"/>
  <c r="M34" i="13" s="1"/>
  <c r="T131" i="2"/>
  <c r="I155" i="2"/>
  <c r="T159" i="2"/>
  <c r="I59" i="13"/>
  <c r="M59" i="13" s="1"/>
  <c r="T253" i="2"/>
  <c r="I381" i="2"/>
  <c r="T387" i="2"/>
  <c r="I17" i="13"/>
  <c r="M17" i="13" s="1"/>
  <c r="I33" i="13"/>
  <c r="M33" i="13" s="1"/>
  <c r="T122" i="2"/>
  <c r="I101" i="13"/>
  <c r="T555" i="2"/>
  <c r="I54" i="13"/>
  <c r="I561" i="2"/>
  <c r="T583" i="2"/>
  <c r="I22" i="13"/>
  <c r="M22" i="13" s="1"/>
  <c r="T84" i="2"/>
  <c r="I70" i="13"/>
  <c r="M70" i="13" s="1"/>
  <c r="T295" i="2"/>
  <c r="I13" i="13"/>
  <c r="T19" i="2"/>
  <c r="I56" i="13"/>
  <c r="M56" i="13" s="1"/>
  <c r="T189" i="2"/>
  <c r="I121" i="2"/>
  <c r="I425" i="2" l="1"/>
  <c r="I91" i="13"/>
  <c r="M91" i="13" s="1"/>
  <c r="T196" i="2"/>
  <c r="T339" i="2"/>
  <c r="I23" i="13"/>
  <c r="M23" i="13" s="1"/>
  <c r="T95" i="2"/>
  <c r="M53" i="13"/>
  <c r="I52" i="13"/>
  <c r="I58" i="13"/>
  <c r="M58" i="13" s="1"/>
  <c r="T233" i="2"/>
  <c r="M13" i="13"/>
  <c r="I102" i="13"/>
  <c r="M102" i="13" s="1"/>
  <c r="T561" i="2"/>
  <c r="M101" i="13"/>
  <c r="I32" i="13"/>
  <c r="I51" i="13"/>
  <c r="T155" i="2"/>
  <c r="M162" i="13"/>
  <c r="I161" i="13"/>
  <c r="D14" i="14" s="1"/>
  <c r="I76" i="13"/>
  <c r="M76" i="13" s="1"/>
  <c r="T381" i="2"/>
  <c r="I276" i="2"/>
  <c r="I564" i="2"/>
  <c r="T564" i="2" s="1"/>
  <c r="B2561" i="2"/>
  <c r="B2562" i="2" s="1"/>
  <c r="B2363" i="2"/>
  <c r="B2364" i="2" s="1"/>
  <c r="B2365" i="2" s="1"/>
  <c r="B2366" i="2" s="1"/>
  <c r="B2367" i="2" s="1"/>
  <c r="B2368" i="2" s="1"/>
  <c r="B2174" i="2"/>
  <c r="B2175" i="2" s="1"/>
  <c r="B2176" i="2" s="1"/>
  <c r="B2177" i="2" s="1"/>
  <c r="B2178" i="2" s="1"/>
  <c r="B2049" i="2"/>
  <c r="B2050" i="2" s="1"/>
  <c r="B2051" i="2" s="1"/>
  <c r="B2052" i="2" s="1"/>
  <c r="B2053" i="2" s="1"/>
  <c r="B2054" i="2" s="1"/>
  <c r="B2055" i="2" s="1"/>
  <c r="B2056" i="2" s="1"/>
  <c r="B2057" i="2" s="1"/>
  <c r="B1862" i="2"/>
  <c r="B790" i="2"/>
  <c r="B791" i="2" s="1"/>
  <c r="B792" i="2" s="1"/>
  <c r="B793" i="2" s="1"/>
  <c r="B794" i="2" s="1"/>
  <c r="B555" i="2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426" i="2"/>
  <c r="B427" i="2" s="1"/>
  <c r="B428" i="2" s="1"/>
  <c r="B429" i="2" s="1"/>
  <c r="B430" i="2" s="1"/>
  <c r="B431" i="2" s="1"/>
  <c r="B432" i="2" s="1"/>
  <c r="B433" i="2" s="1"/>
  <c r="B434" i="2" s="1"/>
  <c r="B295" i="2"/>
  <c r="B296" i="2" s="1"/>
  <c r="B297" i="2" s="1"/>
  <c r="B298" i="2" s="1"/>
  <c r="B299" i="2" s="1"/>
  <c r="B300" i="2" s="1"/>
  <c r="B301" i="2" s="1"/>
  <c r="N2586" i="2"/>
  <c r="N2242" i="2"/>
  <c r="N2223" i="2"/>
  <c r="T2223" i="2" s="1"/>
  <c r="N789" i="2"/>
  <c r="I86" i="13" l="1"/>
  <c r="D10" i="14" s="1"/>
  <c r="I100" i="13"/>
  <c r="D11" i="14" s="1"/>
  <c r="D7" i="14"/>
  <c r="F7" i="14" s="1"/>
  <c r="M32" i="13"/>
  <c r="M51" i="13"/>
  <c r="I50" i="13"/>
  <c r="D8" i="14" s="1"/>
  <c r="N2561" i="2"/>
  <c r="N2560" i="2" s="1"/>
  <c r="T2560" i="2" s="1"/>
  <c r="T2586" i="2"/>
  <c r="T2561" i="2" s="1"/>
  <c r="N2241" i="2"/>
  <c r="T2242" i="2"/>
  <c r="N2100" i="2"/>
  <c r="T2100" i="2" s="1"/>
  <c r="T2101" i="2"/>
  <c r="B2058" i="2"/>
  <c r="B2059" i="2" s="1"/>
  <c r="B2060" i="2" s="1"/>
  <c r="B2061" i="2" s="1"/>
  <c r="B2062" i="2" s="1"/>
  <c r="B2063" i="2" s="1"/>
  <c r="B2064" i="2" s="1"/>
  <c r="B2065" i="2" s="1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563" i="2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795" i="2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I554" i="2"/>
  <c r="B435" i="2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302" i="2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2179" i="2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369" i="2"/>
  <c r="B1863" i="2"/>
  <c r="B1864" i="2" s="1"/>
  <c r="B1865" i="2" s="1"/>
  <c r="B1866" i="2"/>
  <c r="I15" i="3"/>
  <c r="B2100" i="2" l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N2236" i="2"/>
  <c r="T2241" i="2"/>
  <c r="B806" i="2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586" i="2"/>
  <c r="B587" i="2" s="1"/>
  <c r="B588" i="2" s="1"/>
  <c r="B589" i="2" s="1"/>
  <c r="B590" i="2" s="1"/>
  <c r="B335" i="2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2370" i="2"/>
  <c r="B2371" i="2" s="1"/>
  <c r="B1867" i="2"/>
  <c r="B1868" i="2" s="1"/>
  <c r="B1869" i="2" s="1"/>
  <c r="B1870" i="2" s="1"/>
  <c r="B155" i="2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N179" i="2"/>
  <c r="B27" i="3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R35" i="3"/>
  <c r="Q35" i="3"/>
  <c r="P35" i="3"/>
  <c r="O35" i="3"/>
  <c r="R26" i="3"/>
  <c r="Q26" i="3"/>
  <c r="P26" i="3"/>
  <c r="O26" i="3"/>
  <c r="N26" i="3"/>
  <c r="B122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Q2586" i="2"/>
  <c r="P2586" i="2"/>
  <c r="O2586" i="2"/>
  <c r="M2581" i="2"/>
  <c r="L2581" i="2"/>
  <c r="K2581" i="2"/>
  <c r="J2581" i="2"/>
  <c r="Q2573" i="2"/>
  <c r="Q2572" i="2" s="1"/>
  <c r="Q2571" i="2" s="1"/>
  <c r="Q2570" i="2" s="1"/>
  <c r="M2576" i="2"/>
  <c r="L2576" i="2"/>
  <c r="K2576" i="2"/>
  <c r="J2576" i="2"/>
  <c r="M2568" i="2"/>
  <c r="L2568" i="2"/>
  <c r="K2568" i="2"/>
  <c r="J2568" i="2"/>
  <c r="M2565" i="2"/>
  <c r="L2565" i="2"/>
  <c r="K2565" i="2"/>
  <c r="J2565" i="2"/>
  <c r="R2529" i="2"/>
  <c r="R2528" i="2" s="1"/>
  <c r="Q2529" i="2"/>
  <c r="Q2528" i="2" s="1"/>
  <c r="M2533" i="2"/>
  <c r="L2533" i="2"/>
  <c r="K2533" i="2"/>
  <c r="J2533" i="2"/>
  <c r="P2529" i="2"/>
  <c r="P2528" i="2" s="1"/>
  <c r="O2529" i="2"/>
  <c r="O2528" i="2" s="1"/>
  <c r="R2519" i="2"/>
  <c r="R2518" i="2" s="1"/>
  <c r="R2517" i="2" s="1"/>
  <c r="Q2519" i="2"/>
  <c r="Q2518" i="2" s="1"/>
  <c r="Q2517" i="2" s="1"/>
  <c r="P2519" i="2"/>
  <c r="P2518" i="2" s="1"/>
  <c r="P2517" i="2" s="1"/>
  <c r="O2519" i="2"/>
  <c r="O2518" i="2" s="1"/>
  <c r="O2517" i="2" s="1"/>
  <c r="M2522" i="2"/>
  <c r="M2519" i="2" s="1"/>
  <c r="M2518" i="2" s="1"/>
  <c r="M2517" i="2" s="1"/>
  <c r="L2522" i="2"/>
  <c r="L2519" i="2" s="1"/>
  <c r="L2518" i="2" s="1"/>
  <c r="L2517" i="2" s="1"/>
  <c r="K2522" i="2"/>
  <c r="K2519" i="2" s="1"/>
  <c r="K2518" i="2" s="1"/>
  <c r="K2517" i="2" s="1"/>
  <c r="J2522" i="2"/>
  <c r="J2519" i="2" s="1"/>
  <c r="J2518" i="2" s="1"/>
  <c r="J2517" i="2" s="1"/>
  <c r="M2515" i="2"/>
  <c r="L2515" i="2"/>
  <c r="K2515" i="2"/>
  <c r="J2515" i="2"/>
  <c r="M2514" i="2"/>
  <c r="M2513" i="2" s="1"/>
  <c r="L2513" i="2"/>
  <c r="K2513" i="2"/>
  <c r="J2513" i="2"/>
  <c r="R2506" i="2"/>
  <c r="R2505" i="2" s="1"/>
  <c r="R2504" i="2" s="1"/>
  <c r="R2503" i="2" s="1"/>
  <c r="Q2506" i="2"/>
  <c r="Q2505" i="2" s="1"/>
  <c r="Q2504" i="2" s="1"/>
  <c r="Q2503" i="2" s="1"/>
  <c r="P2506" i="2"/>
  <c r="P2505" i="2" s="1"/>
  <c r="P2504" i="2" s="1"/>
  <c r="P2503" i="2" s="1"/>
  <c r="O2506" i="2"/>
  <c r="O2505" i="2" s="1"/>
  <c r="O2504" i="2" s="1"/>
  <c r="O2503" i="2" s="1"/>
  <c r="M2507" i="2"/>
  <c r="M2506" i="2" s="1"/>
  <c r="M2505" i="2" s="1"/>
  <c r="M2504" i="2" s="1"/>
  <c r="M2503" i="2" s="1"/>
  <c r="L2507" i="2"/>
  <c r="L2506" i="2" s="1"/>
  <c r="L2505" i="2" s="1"/>
  <c r="L2504" i="2" s="1"/>
  <c r="L2503" i="2" s="1"/>
  <c r="K2507" i="2"/>
  <c r="K2506" i="2" s="1"/>
  <c r="K2505" i="2" s="1"/>
  <c r="K2504" i="2" s="1"/>
  <c r="K2503" i="2" s="1"/>
  <c r="J2507" i="2"/>
  <c r="J2506" i="2" s="1"/>
  <c r="J2505" i="2" s="1"/>
  <c r="J2504" i="2" s="1"/>
  <c r="J2503" i="2" s="1"/>
  <c r="R2501" i="2"/>
  <c r="R2491" i="2" s="1"/>
  <c r="R2490" i="2" s="1"/>
  <c r="M2494" i="2"/>
  <c r="M2491" i="2" s="1"/>
  <c r="M2490" i="2" s="1"/>
  <c r="L2494" i="2"/>
  <c r="L2491" i="2" s="1"/>
  <c r="L2490" i="2" s="1"/>
  <c r="K2494" i="2"/>
  <c r="K2491" i="2" s="1"/>
  <c r="K2490" i="2" s="1"/>
  <c r="J2494" i="2"/>
  <c r="J2491" i="2" s="1"/>
  <c r="J2490" i="2" s="1"/>
  <c r="P2488" i="2"/>
  <c r="O2488" i="2"/>
  <c r="M2480" i="2"/>
  <c r="L2480" i="2"/>
  <c r="K2480" i="2"/>
  <c r="J2480" i="2"/>
  <c r="M2474" i="2"/>
  <c r="L2474" i="2"/>
  <c r="K2474" i="2"/>
  <c r="J2474" i="2"/>
  <c r="M2473" i="2"/>
  <c r="M2472" i="2" s="1"/>
  <c r="L2472" i="2"/>
  <c r="K2472" i="2"/>
  <c r="J2472" i="2"/>
  <c r="M2469" i="2"/>
  <c r="L2469" i="2"/>
  <c r="K2469" i="2"/>
  <c r="J2469" i="2"/>
  <c r="R2462" i="2"/>
  <c r="R2461" i="2" s="1"/>
  <c r="Q2462" i="2"/>
  <c r="Q2461" i="2" s="1"/>
  <c r="P2462" i="2"/>
  <c r="P2461" i="2" s="1"/>
  <c r="O2462" i="2"/>
  <c r="O2461" i="2" s="1"/>
  <c r="M2463" i="2"/>
  <c r="M2462" i="2" s="1"/>
  <c r="M2461" i="2" s="1"/>
  <c r="L2463" i="2"/>
  <c r="L2462" i="2" s="1"/>
  <c r="L2461" i="2" s="1"/>
  <c r="K2463" i="2"/>
  <c r="K2462" i="2" s="1"/>
  <c r="K2461" i="2" s="1"/>
  <c r="J2463" i="2"/>
  <c r="J2462" i="2" s="1"/>
  <c r="J2461" i="2" s="1"/>
  <c r="R2456" i="2"/>
  <c r="R2455" i="2" s="1"/>
  <c r="Q2456" i="2"/>
  <c r="Q2455" i="2" s="1"/>
  <c r="P2456" i="2"/>
  <c r="P2455" i="2" s="1"/>
  <c r="O2456" i="2"/>
  <c r="O2455" i="2" s="1"/>
  <c r="M2457" i="2"/>
  <c r="L2457" i="2"/>
  <c r="K2457" i="2"/>
  <c r="J2457" i="2"/>
  <c r="R2451" i="2"/>
  <c r="P2451" i="2"/>
  <c r="M2451" i="2"/>
  <c r="L2451" i="2"/>
  <c r="K2451" i="2"/>
  <c r="J2451" i="2"/>
  <c r="L2449" i="2"/>
  <c r="L2443" i="2" s="1"/>
  <c r="M2443" i="2"/>
  <c r="K2443" i="2"/>
  <c r="J2443" i="2"/>
  <c r="M2437" i="2"/>
  <c r="L2437" i="2"/>
  <c r="K2437" i="2"/>
  <c r="J2437" i="2"/>
  <c r="M2430" i="2"/>
  <c r="M2429" i="2" s="1"/>
  <c r="L2430" i="2"/>
  <c r="L2429" i="2" s="1"/>
  <c r="K2430" i="2"/>
  <c r="K2429" i="2" s="1"/>
  <c r="J2430" i="2"/>
  <c r="J2429" i="2" s="1"/>
  <c r="L2428" i="2"/>
  <c r="L2426" i="2"/>
  <c r="L2425" i="2"/>
  <c r="R2412" i="2"/>
  <c r="R2411" i="2" s="1"/>
  <c r="Q2412" i="2"/>
  <c r="Q2411" i="2" s="1"/>
  <c r="P2412" i="2"/>
  <c r="P2411" i="2" s="1"/>
  <c r="O2412" i="2"/>
  <c r="O2411" i="2" s="1"/>
  <c r="M2412" i="2"/>
  <c r="L2412" i="2"/>
  <c r="K2412" i="2"/>
  <c r="J2412" i="2"/>
  <c r="R2410" i="2"/>
  <c r="R2409" i="2" s="1"/>
  <c r="Q2410" i="2"/>
  <c r="Q2409" i="2" s="1"/>
  <c r="P2410" i="2"/>
  <c r="P2409" i="2" s="1"/>
  <c r="O2410" i="2"/>
  <c r="O2409" i="2" s="1"/>
  <c r="M2410" i="2"/>
  <c r="M2409" i="2" s="1"/>
  <c r="L2410" i="2"/>
  <c r="L2409" i="2" s="1"/>
  <c r="K2410" i="2"/>
  <c r="K2409" i="2" s="1"/>
  <c r="J2410" i="2"/>
  <c r="J2409" i="2" s="1"/>
  <c r="M2388" i="2"/>
  <c r="M2387" i="2" s="1"/>
  <c r="M2386" i="2" s="1"/>
  <c r="M2385" i="2" s="1"/>
  <c r="M2384" i="2" s="1"/>
  <c r="L2388" i="2"/>
  <c r="L2387" i="2" s="1"/>
  <c r="L2386" i="2" s="1"/>
  <c r="L2385" i="2" s="1"/>
  <c r="L2384" i="2" s="1"/>
  <c r="K2388" i="2"/>
  <c r="K2387" i="2" s="1"/>
  <c r="K2386" i="2" s="1"/>
  <c r="K2385" i="2" s="1"/>
  <c r="K2384" i="2" s="1"/>
  <c r="J2388" i="2"/>
  <c r="J2387" i="2" s="1"/>
  <c r="J2386" i="2" s="1"/>
  <c r="J2385" i="2" s="1"/>
  <c r="J2384" i="2" s="1"/>
  <c r="R2381" i="2"/>
  <c r="R2380" i="2" s="1"/>
  <c r="R2379" i="2" s="1"/>
  <c r="R2378" i="2" s="1"/>
  <c r="Q2381" i="2"/>
  <c r="Q2380" i="2" s="1"/>
  <c r="Q2379" i="2" s="1"/>
  <c r="Q2378" i="2" s="1"/>
  <c r="P2381" i="2"/>
  <c r="P2380" i="2" s="1"/>
  <c r="P2379" i="2" s="1"/>
  <c r="P2378" i="2" s="1"/>
  <c r="O2381" i="2"/>
  <c r="O2380" i="2" s="1"/>
  <c r="O2379" i="2" s="1"/>
  <c r="O2378" i="2" s="1"/>
  <c r="M2382" i="2"/>
  <c r="M2381" i="2" s="1"/>
  <c r="M2380" i="2" s="1"/>
  <c r="M2379" i="2" s="1"/>
  <c r="M2378" i="2" s="1"/>
  <c r="L2382" i="2"/>
  <c r="L2381" i="2" s="1"/>
  <c r="L2380" i="2" s="1"/>
  <c r="L2379" i="2" s="1"/>
  <c r="L2378" i="2" s="1"/>
  <c r="K2382" i="2"/>
  <c r="K2381" i="2" s="1"/>
  <c r="K2380" i="2" s="1"/>
  <c r="K2379" i="2" s="1"/>
  <c r="K2378" i="2" s="1"/>
  <c r="J2382" i="2"/>
  <c r="J2381" i="2" s="1"/>
  <c r="J2380" i="2" s="1"/>
  <c r="J2379" i="2" s="1"/>
  <c r="J2378" i="2" s="1"/>
  <c r="R2366" i="2"/>
  <c r="R2365" i="2" s="1"/>
  <c r="R2364" i="2" s="1"/>
  <c r="R2363" i="2" s="1"/>
  <c r="Q2366" i="2"/>
  <c r="Q2365" i="2" s="1"/>
  <c r="Q2364" i="2" s="1"/>
  <c r="Q2363" i="2" s="1"/>
  <c r="P2365" i="2"/>
  <c r="P2364" i="2" s="1"/>
  <c r="P2363" i="2" s="1"/>
  <c r="O2366" i="2"/>
  <c r="O2365" i="2" s="1"/>
  <c r="O2364" i="2" s="1"/>
  <c r="O2363" i="2" s="1"/>
  <c r="M2369" i="2"/>
  <c r="M2366" i="2" s="1"/>
  <c r="M2365" i="2" s="1"/>
  <c r="M2364" i="2" s="1"/>
  <c r="M2363" i="2" s="1"/>
  <c r="L2369" i="2"/>
  <c r="L2366" i="2" s="1"/>
  <c r="L2365" i="2" s="1"/>
  <c r="L2364" i="2" s="1"/>
  <c r="L2363" i="2" s="1"/>
  <c r="K2369" i="2"/>
  <c r="K2366" i="2" s="1"/>
  <c r="K2365" i="2" s="1"/>
  <c r="K2364" i="2" s="1"/>
  <c r="K2363" i="2" s="1"/>
  <c r="J2369" i="2"/>
  <c r="J2366" i="2" s="1"/>
  <c r="J2365" i="2" s="1"/>
  <c r="J2364" i="2" s="1"/>
  <c r="J2363" i="2" s="1"/>
  <c r="Q2293" i="2"/>
  <c r="M2292" i="2"/>
  <c r="L2292" i="2"/>
  <c r="K2292" i="2"/>
  <c r="J2292" i="2"/>
  <c r="P2275" i="2"/>
  <c r="O2276" i="2"/>
  <c r="O2271" i="2" s="1"/>
  <c r="L2276" i="2"/>
  <c r="L2271" i="2" s="1"/>
  <c r="R2274" i="2"/>
  <c r="R2273" i="2" s="1"/>
  <c r="Q2274" i="2"/>
  <c r="Q2273" i="2" s="1"/>
  <c r="P2274" i="2"/>
  <c r="P2273" i="2" s="1"/>
  <c r="O2274" i="2"/>
  <c r="O2273" i="2" s="1"/>
  <c r="M2274" i="2"/>
  <c r="M2273" i="2" s="1"/>
  <c r="L2274" i="2"/>
  <c r="L2273" i="2" s="1"/>
  <c r="K2274" i="2"/>
  <c r="K2273" i="2" s="1"/>
  <c r="J2274" i="2"/>
  <c r="J2273" i="2" s="1"/>
  <c r="R2267" i="2"/>
  <c r="R2266" i="2" s="1"/>
  <c r="R2265" i="2" s="1"/>
  <c r="R2264" i="2" s="1"/>
  <c r="Q2267" i="2"/>
  <c r="Q2266" i="2" s="1"/>
  <c r="Q2265" i="2" s="1"/>
  <c r="Q2264" i="2" s="1"/>
  <c r="P2267" i="2"/>
  <c r="P2266" i="2" s="1"/>
  <c r="P2265" i="2" s="1"/>
  <c r="P2264" i="2" s="1"/>
  <c r="O2267" i="2"/>
  <c r="O2266" i="2" s="1"/>
  <c r="O2265" i="2" s="1"/>
  <c r="O2264" i="2" s="1"/>
  <c r="M2269" i="2"/>
  <c r="M2268" i="2" s="1"/>
  <c r="M2267" i="2" s="1"/>
  <c r="M2266" i="2" s="1"/>
  <c r="M2265" i="2" s="1"/>
  <c r="M2264" i="2" s="1"/>
  <c r="L2269" i="2"/>
  <c r="L2268" i="2" s="1"/>
  <c r="L2267" i="2" s="1"/>
  <c r="L2266" i="2" s="1"/>
  <c r="L2265" i="2" s="1"/>
  <c r="L2264" i="2" s="1"/>
  <c r="K2269" i="2"/>
  <c r="K2268" i="2" s="1"/>
  <c r="K2267" i="2" s="1"/>
  <c r="K2266" i="2" s="1"/>
  <c r="K2265" i="2" s="1"/>
  <c r="K2264" i="2" s="1"/>
  <c r="J2269" i="2"/>
  <c r="J2268" i="2" s="1"/>
  <c r="J2267" i="2" s="1"/>
  <c r="J2266" i="2" s="1"/>
  <c r="J2265" i="2" s="1"/>
  <c r="J2264" i="2" s="1"/>
  <c r="I2249" i="2"/>
  <c r="T2249" i="2" s="1"/>
  <c r="K2257" i="2"/>
  <c r="M2255" i="2"/>
  <c r="K2255" i="2"/>
  <c r="J2255" i="2"/>
  <c r="L2255" i="2"/>
  <c r="M2253" i="2"/>
  <c r="L2253" i="2"/>
  <c r="K2253" i="2"/>
  <c r="J2253" i="2"/>
  <c r="L2252" i="2"/>
  <c r="L2250" i="2" s="1"/>
  <c r="M2250" i="2"/>
  <c r="K2250" i="2"/>
  <c r="J2250" i="2"/>
  <c r="P2242" i="2"/>
  <c r="P2241" i="2" s="1"/>
  <c r="O2242" i="2"/>
  <c r="O2241" i="2" s="1"/>
  <c r="M2239" i="2"/>
  <c r="L2239" i="2"/>
  <c r="K2239" i="2"/>
  <c r="J2239" i="2"/>
  <c r="R2230" i="2"/>
  <c r="R2229" i="2" s="1"/>
  <c r="R2228" i="2" s="1"/>
  <c r="Q2230" i="2"/>
  <c r="Q2229" i="2" s="1"/>
  <c r="Q2228" i="2" s="1"/>
  <c r="P2230" i="2"/>
  <c r="P2229" i="2" s="1"/>
  <c r="P2228" i="2" s="1"/>
  <c r="O2230" i="2"/>
  <c r="O2229" i="2" s="1"/>
  <c r="O2228" i="2" s="1"/>
  <c r="M2231" i="2"/>
  <c r="M2230" i="2" s="1"/>
  <c r="M2229" i="2" s="1"/>
  <c r="M2228" i="2" s="1"/>
  <c r="L2231" i="2"/>
  <c r="L2230" i="2" s="1"/>
  <c r="L2229" i="2" s="1"/>
  <c r="L2228" i="2" s="1"/>
  <c r="K2231" i="2"/>
  <c r="K2230" i="2" s="1"/>
  <c r="K2229" i="2" s="1"/>
  <c r="K2228" i="2" s="1"/>
  <c r="J2231" i="2"/>
  <c r="J2230" i="2" s="1"/>
  <c r="J2229" i="2" s="1"/>
  <c r="J2228" i="2" s="1"/>
  <c r="Q2223" i="2"/>
  <c r="R2220" i="2"/>
  <c r="M2206" i="2"/>
  <c r="L2206" i="2"/>
  <c r="L2205" i="2"/>
  <c r="M2204" i="2"/>
  <c r="L2204" i="2"/>
  <c r="M2203" i="2"/>
  <c r="L2203" i="2"/>
  <c r="M2202" i="2"/>
  <c r="L2202" i="2"/>
  <c r="M2199" i="2"/>
  <c r="L2199" i="2"/>
  <c r="M2198" i="2"/>
  <c r="L2198" i="2"/>
  <c r="R2188" i="2"/>
  <c r="R2187" i="2" s="1"/>
  <c r="R2186" i="2" s="1"/>
  <c r="Q2187" i="2"/>
  <c r="Q2186" i="2" s="1"/>
  <c r="P2184" i="2"/>
  <c r="P2183" i="2" s="1"/>
  <c r="M2181" i="2"/>
  <c r="M2180" i="2" s="1"/>
  <c r="L2180" i="2"/>
  <c r="K2180" i="2"/>
  <c r="J2180" i="2"/>
  <c r="M2178" i="2"/>
  <c r="L2178" i="2"/>
  <c r="K2178" i="2"/>
  <c r="J2178" i="2"/>
  <c r="R2120" i="2"/>
  <c r="R2119" i="2" s="1"/>
  <c r="R2118" i="2" s="1"/>
  <c r="R2117" i="2" s="1"/>
  <c r="R2116" i="2" s="1"/>
  <c r="Q2120" i="2"/>
  <c r="Q2119" i="2" s="1"/>
  <c r="Q2118" i="2" s="1"/>
  <c r="Q2117" i="2" s="1"/>
  <c r="Q2116" i="2" s="1"/>
  <c r="P2120" i="2"/>
  <c r="P2119" i="2" s="1"/>
  <c r="P2118" i="2" s="1"/>
  <c r="P2117" i="2" s="1"/>
  <c r="P2116" i="2" s="1"/>
  <c r="O2120" i="2"/>
  <c r="O2119" i="2" s="1"/>
  <c r="O2118" i="2" s="1"/>
  <c r="O2117" i="2" s="1"/>
  <c r="O2116" i="2" s="1"/>
  <c r="M2119" i="2"/>
  <c r="M2118" i="2" s="1"/>
  <c r="M2117" i="2" s="1"/>
  <c r="M2116" i="2" s="1"/>
  <c r="L2119" i="2"/>
  <c r="L2118" i="2" s="1"/>
  <c r="L2117" i="2" s="1"/>
  <c r="L2116" i="2" s="1"/>
  <c r="K2119" i="2"/>
  <c r="K2118" i="2" s="1"/>
  <c r="K2117" i="2" s="1"/>
  <c r="K2116" i="2" s="1"/>
  <c r="J2119" i="2"/>
  <c r="J2118" i="2" s="1"/>
  <c r="J2117" i="2" s="1"/>
  <c r="J2116" i="2" s="1"/>
  <c r="P2114" i="2"/>
  <c r="R2108" i="2"/>
  <c r="R2107" i="2" s="1"/>
  <c r="Q2108" i="2"/>
  <c r="Q2107" i="2" s="1"/>
  <c r="O2108" i="2"/>
  <c r="O2107" i="2" s="1"/>
  <c r="M2109" i="2"/>
  <c r="M2108" i="2" s="1"/>
  <c r="M2107" i="2" s="1"/>
  <c r="L2109" i="2"/>
  <c r="L2108" i="2" s="1"/>
  <c r="L2107" i="2" s="1"/>
  <c r="K2109" i="2"/>
  <c r="K2108" i="2" s="1"/>
  <c r="K2107" i="2" s="1"/>
  <c r="J2109" i="2"/>
  <c r="J2108" i="2" s="1"/>
  <c r="J2107" i="2" s="1"/>
  <c r="R2101" i="2"/>
  <c r="R2100" i="2" s="1"/>
  <c r="Q2101" i="2"/>
  <c r="P2101" i="2"/>
  <c r="M2099" i="2"/>
  <c r="M2097" i="2"/>
  <c r="L2097" i="2"/>
  <c r="L2093" i="2" s="1"/>
  <c r="M2096" i="2"/>
  <c r="M2095" i="2"/>
  <c r="K2093" i="2"/>
  <c r="J2093" i="2"/>
  <c r="R2087" i="2"/>
  <c r="R2086" i="2" s="1"/>
  <c r="L2082" i="2"/>
  <c r="L2081" i="2" s="1"/>
  <c r="L2080" i="2" s="1"/>
  <c r="L2079" i="2" s="1"/>
  <c r="L2078" i="2" s="1"/>
  <c r="L2077" i="2" s="1"/>
  <c r="Q2080" i="2"/>
  <c r="Q2079" i="2" s="1"/>
  <c r="Q2078" i="2" s="1"/>
  <c r="Q2077" i="2" s="1"/>
  <c r="P2080" i="2"/>
  <c r="P2079" i="2" s="1"/>
  <c r="P2078" i="2" s="1"/>
  <c r="P2077" i="2" s="1"/>
  <c r="O2080" i="2"/>
  <c r="O2079" i="2" s="1"/>
  <c r="O2078" i="2" s="1"/>
  <c r="O2077" i="2" s="1"/>
  <c r="M2081" i="2"/>
  <c r="M2080" i="2" s="1"/>
  <c r="M2079" i="2" s="1"/>
  <c r="M2078" i="2" s="1"/>
  <c r="M2077" i="2" s="1"/>
  <c r="K2081" i="2"/>
  <c r="K2080" i="2" s="1"/>
  <c r="K2079" i="2" s="1"/>
  <c r="K2078" i="2" s="1"/>
  <c r="K2077" i="2" s="1"/>
  <c r="J2081" i="2"/>
  <c r="J2080" i="2" s="1"/>
  <c r="J2079" i="2" s="1"/>
  <c r="J2078" i="2" s="1"/>
  <c r="J2077" i="2" s="1"/>
  <c r="R2004" i="2"/>
  <c r="R2003" i="2" s="1"/>
  <c r="Q2004" i="2"/>
  <c r="Q2003" i="2" s="1"/>
  <c r="P2004" i="2"/>
  <c r="P2003" i="2" s="1"/>
  <c r="O2004" i="2"/>
  <c r="O2003" i="2" s="1"/>
  <c r="M2004" i="2"/>
  <c r="M1986" i="2" s="1"/>
  <c r="L2004" i="2"/>
  <c r="L1986" i="2" s="1"/>
  <c r="K2004" i="2"/>
  <c r="K1986" i="2" s="1"/>
  <c r="J2004" i="2"/>
  <c r="J1986" i="2" s="1"/>
  <c r="Q1993" i="2"/>
  <c r="P1993" i="2"/>
  <c r="P1991" i="2"/>
  <c r="R1977" i="2"/>
  <c r="R1976" i="2" s="1"/>
  <c r="R1973" i="2" s="1"/>
  <c r="Q1977" i="2"/>
  <c r="Q1976" i="2" s="1"/>
  <c r="Q1973" i="2" s="1"/>
  <c r="P1977" i="2"/>
  <c r="P1976" i="2" s="1"/>
  <c r="P1973" i="2" s="1"/>
  <c r="O1977" i="2"/>
  <c r="O1976" i="2" s="1"/>
  <c r="O1973" i="2" s="1"/>
  <c r="M1977" i="2"/>
  <c r="M1976" i="2" s="1"/>
  <c r="M1973" i="2" s="1"/>
  <c r="L1977" i="2"/>
  <c r="L1976" i="2" s="1"/>
  <c r="L1973" i="2" s="1"/>
  <c r="K1977" i="2"/>
  <c r="K1976" i="2" s="1"/>
  <c r="K1973" i="2" s="1"/>
  <c r="J1977" i="2"/>
  <c r="J1976" i="2" s="1"/>
  <c r="J1973" i="2" s="1"/>
  <c r="R1975" i="2"/>
  <c r="R1974" i="2" s="1"/>
  <c r="Q1975" i="2"/>
  <c r="Q1974" i="2" s="1"/>
  <c r="P1975" i="2"/>
  <c r="P1974" i="2" s="1"/>
  <c r="O1975" i="2"/>
  <c r="O1974" i="2" s="1"/>
  <c r="M1975" i="2"/>
  <c r="M1974" i="2" s="1"/>
  <c r="L1975" i="2"/>
  <c r="L1974" i="2" s="1"/>
  <c r="K1975" i="2"/>
  <c r="K1974" i="2" s="1"/>
  <c r="J1975" i="2"/>
  <c r="J1974" i="2" s="1"/>
  <c r="R1959" i="2"/>
  <c r="Q1959" i="2"/>
  <c r="Q1942" i="2" s="1"/>
  <c r="P1959" i="2"/>
  <c r="P1942" i="2" s="1"/>
  <c r="O1959" i="2"/>
  <c r="O1942" i="2" s="1"/>
  <c r="K1959" i="2"/>
  <c r="K1942" i="2" s="1"/>
  <c r="J1959" i="2"/>
  <c r="J1942" i="2" s="1"/>
  <c r="R1956" i="2"/>
  <c r="R1953" i="2" s="1"/>
  <c r="R1949" i="2" s="1"/>
  <c r="Q1927" i="2"/>
  <c r="P1927" i="2"/>
  <c r="O1927" i="2"/>
  <c r="P1923" i="2"/>
  <c r="P1922" i="2" s="1"/>
  <c r="O1923" i="2"/>
  <c r="M1897" i="2"/>
  <c r="L1897" i="2"/>
  <c r="K1897" i="2"/>
  <c r="J1897" i="2"/>
  <c r="R1873" i="2"/>
  <c r="R1872" i="2" s="1"/>
  <c r="R1871" i="2" s="1"/>
  <c r="R1870" i="2" s="1"/>
  <c r="R1865" i="2"/>
  <c r="R1864" i="2" s="1"/>
  <c r="R1863" i="2" s="1"/>
  <c r="R1862" i="2" s="1"/>
  <c r="Q1865" i="2"/>
  <c r="Q1864" i="2" s="1"/>
  <c r="Q1863" i="2" s="1"/>
  <c r="Q1862" i="2" s="1"/>
  <c r="P1865" i="2"/>
  <c r="P1864" i="2" s="1"/>
  <c r="P1863" i="2" s="1"/>
  <c r="P1862" i="2" s="1"/>
  <c r="O1865" i="2"/>
  <c r="O1864" i="2" s="1"/>
  <c r="O1863" i="2" s="1"/>
  <c r="O1862" i="2" s="1"/>
  <c r="M1867" i="2"/>
  <c r="M1865" i="2" s="1"/>
  <c r="M1864" i="2" s="1"/>
  <c r="M1863" i="2" s="1"/>
  <c r="M1862" i="2" s="1"/>
  <c r="L1867" i="2"/>
  <c r="L1865" i="2" s="1"/>
  <c r="L1864" i="2" s="1"/>
  <c r="L1863" i="2" s="1"/>
  <c r="L1862" i="2" s="1"/>
  <c r="K1867" i="2"/>
  <c r="K1865" i="2" s="1"/>
  <c r="K1864" i="2" s="1"/>
  <c r="K1863" i="2" s="1"/>
  <c r="K1862" i="2" s="1"/>
  <c r="J1867" i="2"/>
  <c r="J1865" i="2" s="1"/>
  <c r="J1864" i="2" s="1"/>
  <c r="J1863" i="2" s="1"/>
  <c r="J1862" i="2" s="1"/>
  <c r="M1806" i="2"/>
  <c r="L1806" i="2"/>
  <c r="M1798" i="2"/>
  <c r="L1798" i="2"/>
  <c r="K1798" i="2"/>
  <c r="K1795" i="2" s="1"/>
  <c r="J1798" i="2"/>
  <c r="J1795" i="2" s="1"/>
  <c r="M1792" i="2"/>
  <c r="L1792" i="2"/>
  <c r="K1792" i="2"/>
  <c r="J1792" i="2"/>
  <c r="M1790" i="2"/>
  <c r="L1790" i="2"/>
  <c r="K1790" i="2"/>
  <c r="J1790" i="2"/>
  <c r="M1777" i="2"/>
  <c r="L1777" i="2"/>
  <c r="K1777" i="2"/>
  <c r="J1777" i="2"/>
  <c r="K1788" i="2"/>
  <c r="M1784" i="2"/>
  <c r="M1781" i="2" s="1"/>
  <c r="M1775" i="2"/>
  <c r="L1775" i="2"/>
  <c r="K1775" i="2"/>
  <c r="J1775" i="2"/>
  <c r="Q1769" i="2"/>
  <c r="M1762" i="2"/>
  <c r="L1762" i="2"/>
  <c r="K1762" i="2"/>
  <c r="J1762" i="2"/>
  <c r="Q1758" i="2"/>
  <c r="M1751" i="2"/>
  <c r="L1751" i="2"/>
  <c r="K1751" i="2"/>
  <c r="J1751" i="2"/>
  <c r="M1735" i="2"/>
  <c r="L1735" i="2"/>
  <c r="K1735" i="2"/>
  <c r="J1735" i="2"/>
  <c r="M1726" i="2"/>
  <c r="L1726" i="2"/>
  <c r="K1726" i="2"/>
  <c r="J1726" i="2"/>
  <c r="P1720" i="2"/>
  <c r="M1713" i="2"/>
  <c r="L1713" i="2"/>
  <c r="K1713" i="2"/>
  <c r="J1713" i="2"/>
  <c r="M1704" i="2"/>
  <c r="L1704" i="2"/>
  <c r="K1704" i="2"/>
  <c r="J1704" i="2"/>
  <c r="Q1698" i="2"/>
  <c r="M1692" i="2"/>
  <c r="L1692" i="2"/>
  <c r="K1692" i="2"/>
  <c r="J1692" i="2"/>
  <c r="M1684" i="2"/>
  <c r="L1684" i="2"/>
  <c r="K1684" i="2"/>
  <c r="J1684" i="2"/>
  <c r="M1674" i="2"/>
  <c r="L1674" i="2"/>
  <c r="K1674" i="2"/>
  <c r="J1674" i="2"/>
  <c r="M1665" i="2"/>
  <c r="L1665" i="2"/>
  <c r="K1665" i="2"/>
  <c r="J1665" i="2"/>
  <c r="Q1659" i="2"/>
  <c r="M1657" i="2"/>
  <c r="L1657" i="2"/>
  <c r="K1657" i="2"/>
  <c r="J1657" i="2"/>
  <c r="M1655" i="2"/>
  <c r="L1655" i="2"/>
  <c r="K1655" i="2"/>
  <c r="J1655" i="2"/>
  <c r="M1647" i="2"/>
  <c r="L1647" i="2"/>
  <c r="K1647" i="2"/>
  <c r="J1647" i="2"/>
  <c r="M1639" i="2"/>
  <c r="L1639" i="2"/>
  <c r="K1639" i="2"/>
  <c r="J1639" i="2"/>
  <c r="M1627" i="2"/>
  <c r="L1627" i="2"/>
  <c r="K1627" i="2"/>
  <c r="J1627" i="2"/>
  <c r="M1619" i="2"/>
  <c r="M1615" i="2" s="1"/>
  <c r="L1619" i="2"/>
  <c r="K1619" i="2"/>
  <c r="K1615" i="2" s="1"/>
  <c r="J1619" i="2"/>
  <c r="J1615" i="2" s="1"/>
  <c r="Q1613" i="2"/>
  <c r="M1606" i="2"/>
  <c r="L1606" i="2"/>
  <c r="K1606" i="2"/>
  <c r="J1606" i="2"/>
  <c r="Q1601" i="2"/>
  <c r="M1596" i="2"/>
  <c r="L1596" i="2"/>
  <c r="K1596" i="2"/>
  <c r="J1596" i="2"/>
  <c r="M1588" i="2"/>
  <c r="M1585" i="2" s="1"/>
  <c r="L1588" i="2"/>
  <c r="L1585" i="2" s="1"/>
  <c r="K1588" i="2"/>
  <c r="K1585" i="2" s="1"/>
  <c r="J1588" i="2"/>
  <c r="J1585" i="2" s="1"/>
  <c r="M1579" i="2"/>
  <c r="M1576" i="2" s="1"/>
  <c r="L1579" i="2"/>
  <c r="L1576" i="2" s="1"/>
  <c r="K1579" i="2"/>
  <c r="K1576" i="2" s="1"/>
  <c r="J1579" i="2"/>
  <c r="J1576" i="2" s="1"/>
  <c r="Q1574" i="2"/>
  <c r="Q1567" i="2" s="1"/>
  <c r="M1570" i="2"/>
  <c r="M1567" i="2" s="1"/>
  <c r="L1570" i="2"/>
  <c r="L1567" i="2" s="1"/>
  <c r="K1570" i="2"/>
  <c r="K1567" i="2" s="1"/>
  <c r="J1570" i="2"/>
  <c r="J1567" i="2" s="1"/>
  <c r="Q1565" i="2"/>
  <c r="P1565" i="2"/>
  <c r="O1565" i="2"/>
  <c r="M1565" i="2"/>
  <c r="L1565" i="2"/>
  <c r="K1565" i="2"/>
  <c r="J1565" i="2"/>
  <c r="R1560" i="2"/>
  <c r="R1557" i="2" s="1"/>
  <c r="Q1560" i="2"/>
  <c r="P1560" i="2"/>
  <c r="P1557" i="2" s="1"/>
  <c r="O1560" i="2"/>
  <c r="O1557" i="2" s="1"/>
  <c r="M1560" i="2"/>
  <c r="M1557" i="2" s="1"/>
  <c r="L1560" i="2"/>
  <c r="L1557" i="2" s="1"/>
  <c r="K1560" i="2"/>
  <c r="K1557" i="2" s="1"/>
  <c r="J1560" i="2"/>
  <c r="J1557" i="2" s="1"/>
  <c r="Q1555" i="2"/>
  <c r="M1550" i="2"/>
  <c r="L1550" i="2"/>
  <c r="K1550" i="2"/>
  <c r="J1550" i="2"/>
  <c r="Q1545" i="2"/>
  <c r="M1539" i="2"/>
  <c r="L1539" i="2"/>
  <c r="K1539" i="2"/>
  <c r="J1539" i="2"/>
  <c r="Q1534" i="2"/>
  <c r="M1529" i="2"/>
  <c r="L1529" i="2"/>
  <c r="K1529" i="2"/>
  <c r="J1529" i="2"/>
  <c r="M1519" i="2"/>
  <c r="L1519" i="2"/>
  <c r="K1519" i="2"/>
  <c r="J1519" i="2"/>
  <c r="M1512" i="2"/>
  <c r="M1509" i="2" s="1"/>
  <c r="L1512" i="2"/>
  <c r="L1509" i="2" s="1"/>
  <c r="K1512" i="2"/>
  <c r="K1509" i="2" s="1"/>
  <c r="J1512" i="2"/>
  <c r="J1509" i="2" s="1"/>
  <c r="M1504" i="2"/>
  <c r="M1501" i="2" s="1"/>
  <c r="L1504" i="2"/>
  <c r="L1501" i="2" s="1"/>
  <c r="K1504" i="2"/>
  <c r="K1501" i="2" s="1"/>
  <c r="J1504" i="2"/>
  <c r="J1501" i="2" s="1"/>
  <c r="M1494" i="2"/>
  <c r="L1494" i="2"/>
  <c r="K1494" i="2"/>
  <c r="J1494" i="2"/>
  <c r="Q1489" i="2"/>
  <c r="M1484" i="2"/>
  <c r="L1484" i="2"/>
  <c r="K1484" i="2"/>
  <c r="J1484" i="2"/>
  <c r="R1478" i="2"/>
  <c r="R1469" i="2" s="1"/>
  <c r="M1471" i="2"/>
  <c r="M1470" i="2" s="1"/>
  <c r="M1469" i="2" s="1"/>
  <c r="L1471" i="2"/>
  <c r="L1470" i="2" s="1"/>
  <c r="L1469" i="2" s="1"/>
  <c r="K1471" i="2"/>
  <c r="K1470" i="2" s="1"/>
  <c r="K1469" i="2" s="1"/>
  <c r="J1471" i="2"/>
  <c r="J1470" i="2" s="1"/>
  <c r="J1469" i="2" s="1"/>
  <c r="M1458" i="2"/>
  <c r="M1454" i="2" s="1"/>
  <c r="L1458" i="2"/>
  <c r="L1454" i="2" s="1"/>
  <c r="K1458" i="2"/>
  <c r="K1454" i="2" s="1"/>
  <c r="J1458" i="2"/>
  <c r="J1454" i="2" s="1"/>
  <c r="R1446" i="2"/>
  <c r="R1445" i="2" s="1"/>
  <c r="Q1446" i="2"/>
  <c r="Q1445" i="2" s="1"/>
  <c r="P1446" i="2"/>
  <c r="P1445" i="2" s="1"/>
  <c r="O1446" i="2"/>
  <c r="O1445" i="2" s="1"/>
  <c r="M1449" i="2"/>
  <c r="M1446" i="2" s="1"/>
  <c r="M1445" i="2" s="1"/>
  <c r="L1449" i="2"/>
  <c r="L1446" i="2" s="1"/>
  <c r="L1445" i="2" s="1"/>
  <c r="K1449" i="2"/>
  <c r="K1446" i="2" s="1"/>
  <c r="K1445" i="2" s="1"/>
  <c r="J1449" i="2"/>
  <c r="J1446" i="2" s="1"/>
  <c r="J1445" i="2" s="1"/>
  <c r="R1437" i="2"/>
  <c r="R1436" i="2" s="1"/>
  <c r="Q1437" i="2"/>
  <c r="Q1436" i="2" s="1"/>
  <c r="P1437" i="2"/>
  <c r="P1436" i="2" s="1"/>
  <c r="O1437" i="2"/>
  <c r="O1436" i="2" s="1"/>
  <c r="M1440" i="2"/>
  <c r="M1437" i="2" s="1"/>
  <c r="M1436" i="2" s="1"/>
  <c r="L1440" i="2"/>
  <c r="L1437" i="2" s="1"/>
  <c r="L1436" i="2" s="1"/>
  <c r="K1440" i="2"/>
  <c r="K1437" i="2" s="1"/>
  <c r="K1436" i="2" s="1"/>
  <c r="J1440" i="2"/>
  <c r="J1437" i="2" s="1"/>
  <c r="J1436" i="2" s="1"/>
  <c r="R1428" i="2"/>
  <c r="R1427" i="2" s="1"/>
  <c r="Q1428" i="2"/>
  <c r="Q1427" i="2" s="1"/>
  <c r="P1428" i="2"/>
  <c r="P1427" i="2" s="1"/>
  <c r="O1428" i="2"/>
  <c r="O1427" i="2" s="1"/>
  <c r="M1431" i="2"/>
  <c r="M1428" i="2" s="1"/>
  <c r="M1427" i="2" s="1"/>
  <c r="L1431" i="2"/>
  <c r="L1428" i="2" s="1"/>
  <c r="L1427" i="2" s="1"/>
  <c r="K1431" i="2"/>
  <c r="K1428" i="2" s="1"/>
  <c r="K1427" i="2" s="1"/>
  <c r="J1431" i="2"/>
  <c r="J1428" i="2" s="1"/>
  <c r="J1427" i="2" s="1"/>
  <c r="R1419" i="2"/>
  <c r="R1418" i="2" s="1"/>
  <c r="Q1419" i="2"/>
  <c r="Q1418" i="2" s="1"/>
  <c r="P1419" i="2"/>
  <c r="P1418" i="2" s="1"/>
  <c r="O1419" i="2"/>
  <c r="O1418" i="2" s="1"/>
  <c r="M1422" i="2"/>
  <c r="M1419" i="2" s="1"/>
  <c r="M1418" i="2" s="1"/>
  <c r="L1422" i="2"/>
  <c r="L1419" i="2" s="1"/>
  <c r="L1418" i="2" s="1"/>
  <c r="K1422" i="2"/>
  <c r="K1419" i="2" s="1"/>
  <c r="K1418" i="2" s="1"/>
  <c r="J1422" i="2"/>
  <c r="J1419" i="2" s="1"/>
  <c r="J1418" i="2" s="1"/>
  <c r="R1410" i="2"/>
  <c r="R1409" i="2" s="1"/>
  <c r="Q1410" i="2"/>
  <c r="Q1409" i="2" s="1"/>
  <c r="P1410" i="2"/>
  <c r="P1409" i="2" s="1"/>
  <c r="O1410" i="2"/>
  <c r="O1409" i="2" s="1"/>
  <c r="M1413" i="2"/>
  <c r="M1410" i="2" s="1"/>
  <c r="M1409" i="2" s="1"/>
  <c r="L1413" i="2"/>
  <c r="L1410" i="2" s="1"/>
  <c r="L1409" i="2" s="1"/>
  <c r="K1413" i="2"/>
  <c r="K1410" i="2" s="1"/>
  <c r="K1409" i="2" s="1"/>
  <c r="J1413" i="2"/>
  <c r="J1410" i="2" s="1"/>
  <c r="J1409" i="2" s="1"/>
  <c r="R1401" i="2"/>
  <c r="R1400" i="2" s="1"/>
  <c r="Q1401" i="2"/>
  <c r="Q1400" i="2" s="1"/>
  <c r="P1401" i="2"/>
  <c r="P1400" i="2" s="1"/>
  <c r="O1401" i="2"/>
  <c r="O1400" i="2" s="1"/>
  <c r="M1404" i="2"/>
  <c r="M1401" i="2" s="1"/>
  <c r="M1400" i="2" s="1"/>
  <c r="L1404" i="2"/>
  <c r="L1401" i="2" s="1"/>
  <c r="L1400" i="2" s="1"/>
  <c r="K1404" i="2"/>
  <c r="K1401" i="2" s="1"/>
  <c r="K1400" i="2" s="1"/>
  <c r="J1404" i="2"/>
  <c r="J1401" i="2" s="1"/>
  <c r="J1400" i="2" s="1"/>
  <c r="R1392" i="2"/>
  <c r="R1391" i="2" s="1"/>
  <c r="Q1392" i="2"/>
  <c r="Q1391" i="2" s="1"/>
  <c r="P1392" i="2"/>
  <c r="P1391" i="2" s="1"/>
  <c r="O1392" i="2"/>
  <c r="O1391" i="2" s="1"/>
  <c r="M1395" i="2"/>
  <c r="M1392" i="2" s="1"/>
  <c r="M1391" i="2" s="1"/>
  <c r="L1395" i="2"/>
  <c r="L1392" i="2" s="1"/>
  <c r="L1391" i="2" s="1"/>
  <c r="K1395" i="2"/>
  <c r="K1392" i="2" s="1"/>
  <c r="K1391" i="2" s="1"/>
  <c r="J1395" i="2"/>
  <c r="J1392" i="2" s="1"/>
  <c r="J1391" i="2" s="1"/>
  <c r="R1383" i="2"/>
  <c r="R1382" i="2" s="1"/>
  <c r="Q1383" i="2"/>
  <c r="Q1382" i="2" s="1"/>
  <c r="P1383" i="2"/>
  <c r="P1382" i="2" s="1"/>
  <c r="O1383" i="2"/>
  <c r="O1382" i="2" s="1"/>
  <c r="M1386" i="2"/>
  <c r="M1383" i="2" s="1"/>
  <c r="M1382" i="2" s="1"/>
  <c r="L1386" i="2"/>
  <c r="L1383" i="2" s="1"/>
  <c r="L1382" i="2" s="1"/>
  <c r="K1386" i="2"/>
  <c r="K1383" i="2" s="1"/>
  <c r="K1382" i="2" s="1"/>
  <c r="J1386" i="2"/>
  <c r="J1383" i="2" s="1"/>
  <c r="J1382" i="2" s="1"/>
  <c r="R1375" i="2"/>
  <c r="R1374" i="2" s="1"/>
  <c r="Q1375" i="2"/>
  <c r="Q1374" i="2" s="1"/>
  <c r="P1375" i="2"/>
  <c r="P1374" i="2" s="1"/>
  <c r="O1375" i="2"/>
  <c r="O1374" i="2" s="1"/>
  <c r="M1378" i="2"/>
  <c r="M1375" i="2" s="1"/>
  <c r="M1374" i="2" s="1"/>
  <c r="L1378" i="2"/>
  <c r="L1375" i="2" s="1"/>
  <c r="L1374" i="2" s="1"/>
  <c r="K1378" i="2"/>
  <c r="K1375" i="2" s="1"/>
  <c r="K1374" i="2" s="1"/>
  <c r="J1378" i="2"/>
  <c r="J1375" i="2" s="1"/>
  <c r="J1374" i="2" s="1"/>
  <c r="R1363" i="2"/>
  <c r="R1362" i="2" s="1"/>
  <c r="Q1363" i="2"/>
  <c r="Q1362" i="2" s="1"/>
  <c r="P1363" i="2"/>
  <c r="P1362" i="2" s="1"/>
  <c r="O1363" i="2"/>
  <c r="O1362" i="2" s="1"/>
  <c r="M1366" i="2"/>
  <c r="L1366" i="2"/>
  <c r="L1363" i="2" s="1"/>
  <c r="L1362" i="2" s="1"/>
  <c r="K1366" i="2"/>
  <c r="K1363" i="2" s="1"/>
  <c r="K1362" i="2" s="1"/>
  <c r="J1366" i="2"/>
  <c r="J1363" i="2" s="1"/>
  <c r="J1362" i="2" s="1"/>
  <c r="R1357" i="2"/>
  <c r="P1357" i="2"/>
  <c r="M1348" i="2"/>
  <c r="L1348" i="2"/>
  <c r="K1348" i="2"/>
  <c r="J1348" i="2"/>
  <c r="M1330" i="2"/>
  <c r="L1330" i="2"/>
  <c r="K1330" i="2"/>
  <c r="J1330" i="2"/>
  <c r="M1319" i="2"/>
  <c r="M1313" i="2"/>
  <c r="L1313" i="2"/>
  <c r="K1313" i="2"/>
  <c r="J1313" i="2"/>
  <c r="M1302" i="2"/>
  <c r="L1302" i="2"/>
  <c r="K1302" i="2"/>
  <c r="J1302" i="2"/>
  <c r="M1292" i="2"/>
  <c r="L1292" i="2"/>
  <c r="K1292" i="2"/>
  <c r="J1292" i="2"/>
  <c r="M1289" i="2"/>
  <c r="M1281" i="2"/>
  <c r="L1281" i="2"/>
  <c r="K1281" i="2"/>
  <c r="J1281" i="2"/>
  <c r="M1266" i="2"/>
  <c r="L1266" i="2"/>
  <c r="K1266" i="2"/>
  <c r="J1266" i="2"/>
  <c r="M1257" i="2"/>
  <c r="L1257" i="2"/>
  <c r="K1257" i="2"/>
  <c r="J1257" i="2"/>
  <c r="M1254" i="2"/>
  <c r="M1247" i="2"/>
  <c r="L1247" i="2"/>
  <c r="K1247" i="2"/>
  <c r="J1247" i="2"/>
  <c r="M1245" i="2"/>
  <c r="M1227" i="2"/>
  <c r="L1227" i="2"/>
  <c r="K1227" i="2"/>
  <c r="J1227" i="2"/>
  <c r="M1219" i="2"/>
  <c r="L1219" i="2"/>
  <c r="K1219" i="2"/>
  <c r="J1219" i="2"/>
  <c r="M1216" i="2"/>
  <c r="M1209" i="2"/>
  <c r="L1209" i="2"/>
  <c r="K1209" i="2"/>
  <c r="J1209" i="2"/>
  <c r="M1195" i="2"/>
  <c r="L1195" i="2"/>
  <c r="K1195" i="2"/>
  <c r="J1195" i="2"/>
  <c r="M1187" i="2"/>
  <c r="L1187" i="2"/>
  <c r="K1187" i="2"/>
  <c r="J1187" i="2"/>
  <c r="M1184" i="2"/>
  <c r="M1178" i="2"/>
  <c r="L1178" i="2"/>
  <c r="K1178" i="2"/>
  <c r="J1178" i="2"/>
  <c r="M1170" i="2"/>
  <c r="L1170" i="2"/>
  <c r="K1170" i="2"/>
  <c r="J1170" i="2"/>
  <c r="M1161" i="2"/>
  <c r="L1161" i="2"/>
  <c r="K1161" i="2"/>
  <c r="J1161" i="2"/>
  <c r="M1158" i="2"/>
  <c r="M1151" i="2"/>
  <c r="L1151" i="2"/>
  <c r="K1151" i="2"/>
  <c r="J1151" i="2"/>
  <c r="M1149" i="2"/>
  <c r="M1136" i="2"/>
  <c r="L1136" i="2"/>
  <c r="K1136" i="2"/>
  <c r="J1136" i="2"/>
  <c r="M1129" i="2"/>
  <c r="L1129" i="2"/>
  <c r="K1129" i="2"/>
  <c r="J1129" i="2"/>
  <c r="M1126" i="2"/>
  <c r="L1126" i="2"/>
  <c r="M1120" i="2"/>
  <c r="L1120" i="2"/>
  <c r="K1120" i="2"/>
  <c r="J1120" i="2"/>
  <c r="M1118" i="2"/>
  <c r="M1113" i="2"/>
  <c r="L1113" i="2"/>
  <c r="K1113" i="2"/>
  <c r="J1113" i="2"/>
  <c r="M1105" i="2"/>
  <c r="L1105" i="2"/>
  <c r="J1105" i="2"/>
  <c r="M1102" i="2"/>
  <c r="M1095" i="2"/>
  <c r="L1095" i="2"/>
  <c r="L1092" i="2" s="1"/>
  <c r="K1095" i="2"/>
  <c r="K1092" i="2" s="1"/>
  <c r="J1095" i="2"/>
  <c r="L1083" i="2"/>
  <c r="L1077" i="2" s="1"/>
  <c r="L1074" i="2" s="1"/>
  <c r="L1073" i="2" s="1"/>
  <c r="R1074" i="2"/>
  <c r="Q1074" i="2"/>
  <c r="M1077" i="2"/>
  <c r="M1074" i="2" s="1"/>
  <c r="M1073" i="2" s="1"/>
  <c r="K1077" i="2"/>
  <c r="K1074" i="2" s="1"/>
  <c r="K1073" i="2" s="1"/>
  <c r="J1077" i="2"/>
  <c r="J1074" i="2" s="1"/>
  <c r="J1073" i="2" s="1"/>
  <c r="M1050" i="2"/>
  <c r="M1047" i="2" s="1"/>
  <c r="L1050" i="2"/>
  <c r="L1047" i="2" s="1"/>
  <c r="K1050" i="2"/>
  <c r="K1047" i="2" s="1"/>
  <c r="J1050" i="2"/>
  <c r="J1047" i="2" s="1"/>
  <c r="M1036" i="2"/>
  <c r="M1033" i="2" s="1"/>
  <c r="L1036" i="2"/>
  <c r="L1033" i="2" s="1"/>
  <c r="K1036" i="2"/>
  <c r="K1033" i="2" s="1"/>
  <c r="J1036" i="2"/>
  <c r="J1033" i="2" s="1"/>
  <c r="K1026" i="2"/>
  <c r="K1023" i="2" s="1"/>
  <c r="K1020" i="2" s="1"/>
  <c r="M1023" i="2"/>
  <c r="M1020" i="2" s="1"/>
  <c r="L1023" i="2"/>
  <c r="L1020" i="2" s="1"/>
  <c r="J1023" i="2"/>
  <c r="J1020" i="2" s="1"/>
  <c r="M1010" i="2"/>
  <c r="M1007" i="2" s="1"/>
  <c r="L1010" i="2"/>
  <c r="L1007" i="2" s="1"/>
  <c r="K1010" i="2"/>
  <c r="K1007" i="2" s="1"/>
  <c r="J1010" i="2"/>
  <c r="J1007" i="2" s="1"/>
  <c r="M993" i="2"/>
  <c r="M990" i="2" s="1"/>
  <c r="L993" i="2"/>
  <c r="L990" i="2" s="1"/>
  <c r="K993" i="2"/>
  <c r="K990" i="2" s="1"/>
  <c r="J993" i="2"/>
  <c r="J990" i="2" s="1"/>
  <c r="K981" i="2"/>
  <c r="K977" i="2" s="1"/>
  <c r="K974" i="2" s="1"/>
  <c r="M977" i="2"/>
  <c r="M974" i="2" s="1"/>
  <c r="L977" i="2"/>
  <c r="L974" i="2" s="1"/>
  <c r="J977" i="2"/>
  <c r="J974" i="2" s="1"/>
  <c r="K963" i="2"/>
  <c r="K959" i="2" s="1"/>
  <c r="K956" i="2" s="1"/>
  <c r="M959" i="2"/>
  <c r="M956" i="2" s="1"/>
  <c r="L959" i="2"/>
  <c r="L956" i="2" s="1"/>
  <c r="J959" i="2"/>
  <c r="J956" i="2" s="1"/>
  <c r="M942" i="2"/>
  <c r="M939" i="2" s="1"/>
  <c r="L942" i="2"/>
  <c r="L939" i="2" s="1"/>
  <c r="K942" i="2"/>
  <c r="K939" i="2" s="1"/>
  <c r="J942" i="2"/>
  <c r="J939" i="2" s="1"/>
  <c r="M927" i="2"/>
  <c r="M924" i="2" s="1"/>
  <c r="L927" i="2"/>
  <c r="L924" i="2" s="1"/>
  <c r="K927" i="2"/>
  <c r="K924" i="2" s="1"/>
  <c r="J927" i="2"/>
  <c r="J924" i="2" s="1"/>
  <c r="M910" i="2"/>
  <c r="M907" i="2" s="1"/>
  <c r="L910" i="2"/>
  <c r="L907" i="2" s="1"/>
  <c r="K910" i="2"/>
  <c r="K907" i="2" s="1"/>
  <c r="J910" i="2"/>
  <c r="J907" i="2" s="1"/>
  <c r="M900" i="2"/>
  <c r="M897" i="2" s="1"/>
  <c r="L900" i="2"/>
  <c r="L897" i="2" s="1"/>
  <c r="K900" i="2"/>
  <c r="K897" i="2" s="1"/>
  <c r="J900" i="2"/>
  <c r="J897" i="2" s="1"/>
  <c r="M885" i="2"/>
  <c r="M882" i="2" s="1"/>
  <c r="L885" i="2"/>
  <c r="L882" i="2" s="1"/>
  <c r="K885" i="2"/>
  <c r="K882" i="2" s="1"/>
  <c r="J885" i="2"/>
  <c r="J882" i="2" s="1"/>
  <c r="K871" i="2"/>
  <c r="K868" i="2" s="1"/>
  <c r="M871" i="2"/>
  <c r="M868" i="2" s="1"/>
  <c r="L871" i="2"/>
  <c r="L868" i="2" s="1"/>
  <c r="J871" i="2"/>
  <c r="J868" i="2" s="1"/>
  <c r="K856" i="2"/>
  <c r="K853" i="2" s="1"/>
  <c r="J856" i="2"/>
  <c r="J853" i="2" s="1"/>
  <c r="M853" i="2"/>
  <c r="M850" i="2" s="1"/>
  <c r="L853" i="2"/>
  <c r="L850" i="2" s="1"/>
  <c r="K852" i="2"/>
  <c r="J852" i="2"/>
  <c r="K851" i="2"/>
  <c r="J851" i="2"/>
  <c r="M839" i="2"/>
  <c r="M836" i="2" s="1"/>
  <c r="L839" i="2"/>
  <c r="L836" i="2" s="1"/>
  <c r="K839" i="2"/>
  <c r="K836" i="2" s="1"/>
  <c r="J839" i="2"/>
  <c r="J836" i="2" s="1"/>
  <c r="M834" i="2"/>
  <c r="L834" i="2"/>
  <c r="K834" i="2"/>
  <c r="J834" i="2"/>
  <c r="M811" i="2"/>
  <c r="L811" i="2"/>
  <c r="K811" i="2"/>
  <c r="J811" i="2"/>
  <c r="R810" i="2"/>
  <c r="R809" i="2" s="1"/>
  <c r="R808" i="2" s="1"/>
  <c r="K796" i="2"/>
  <c r="M796" i="2"/>
  <c r="L796" i="2"/>
  <c r="J796" i="2"/>
  <c r="P758" i="2"/>
  <c r="O758" i="2"/>
  <c r="R676" i="2"/>
  <c r="R658" i="2" s="1"/>
  <c r="R600" i="2"/>
  <c r="M593" i="2"/>
  <c r="L593" i="2"/>
  <c r="J593" i="2"/>
  <c r="K584" i="2"/>
  <c r="K583" i="2" s="1"/>
  <c r="K561" i="2" s="1"/>
  <c r="Q579" i="2"/>
  <c r="P579" i="2"/>
  <c r="O579" i="2"/>
  <c r="M566" i="2"/>
  <c r="M565" i="2" s="1"/>
  <c r="L566" i="2"/>
  <c r="L565" i="2" s="1"/>
  <c r="R558" i="2"/>
  <c r="R557" i="2" s="1"/>
  <c r="R556" i="2" s="1"/>
  <c r="R555" i="2" s="1"/>
  <c r="Q558" i="2"/>
  <c r="Q557" i="2" s="1"/>
  <c r="Q556" i="2" s="1"/>
  <c r="Q555" i="2" s="1"/>
  <c r="P558" i="2"/>
  <c r="P557" i="2" s="1"/>
  <c r="P556" i="2" s="1"/>
  <c r="P555" i="2" s="1"/>
  <c r="O558" i="2"/>
  <c r="O557" i="2" s="1"/>
  <c r="O556" i="2" s="1"/>
  <c r="O555" i="2" s="1"/>
  <c r="M559" i="2"/>
  <c r="M558" i="2" s="1"/>
  <c r="M557" i="2" s="1"/>
  <c r="M556" i="2" s="1"/>
  <c r="M555" i="2" s="1"/>
  <c r="L559" i="2"/>
  <c r="L558" i="2" s="1"/>
  <c r="L557" i="2" s="1"/>
  <c r="L556" i="2" s="1"/>
  <c r="L555" i="2" s="1"/>
  <c r="K559" i="2"/>
  <c r="K558" i="2" s="1"/>
  <c r="K557" i="2" s="1"/>
  <c r="K556" i="2" s="1"/>
  <c r="K555" i="2" s="1"/>
  <c r="J559" i="2"/>
  <c r="J558" i="2" s="1"/>
  <c r="J557" i="2" s="1"/>
  <c r="J556" i="2" s="1"/>
  <c r="J555" i="2" s="1"/>
  <c r="P519" i="2"/>
  <c r="O516" i="2"/>
  <c r="M511" i="2"/>
  <c r="L511" i="2"/>
  <c r="K511" i="2"/>
  <c r="J511" i="2"/>
  <c r="M507" i="2"/>
  <c r="M503" i="2" s="1"/>
  <c r="L507" i="2"/>
  <c r="L503" i="2" s="1"/>
  <c r="K507" i="2"/>
  <c r="J507" i="2"/>
  <c r="J503" i="2" s="1"/>
  <c r="R500" i="2"/>
  <c r="R499" i="2" s="1"/>
  <c r="R498" i="2" s="1"/>
  <c r="Q500" i="2"/>
  <c r="Q499" i="2" s="1"/>
  <c r="Q498" i="2" s="1"/>
  <c r="P500" i="2"/>
  <c r="P499" i="2" s="1"/>
  <c r="P498" i="2" s="1"/>
  <c r="O500" i="2"/>
  <c r="O499" i="2" s="1"/>
  <c r="O498" i="2" s="1"/>
  <c r="M492" i="2"/>
  <c r="L492" i="2"/>
  <c r="K492" i="2"/>
  <c r="J492" i="2"/>
  <c r="N486" i="2"/>
  <c r="P486" i="2"/>
  <c r="O486" i="2"/>
  <c r="M453" i="2"/>
  <c r="L453" i="2"/>
  <c r="K453" i="2"/>
  <c r="J453" i="2"/>
  <c r="Q447" i="2"/>
  <c r="P447" i="2"/>
  <c r="O447" i="2"/>
  <c r="P445" i="2"/>
  <c r="O445" i="2"/>
  <c r="M442" i="2"/>
  <c r="L442" i="2"/>
  <c r="K442" i="2"/>
  <c r="J442" i="2"/>
  <c r="M440" i="2"/>
  <c r="L440" i="2"/>
  <c r="K440" i="2"/>
  <c r="J440" i="2"/>
  <c r="M432" i="2"/>
  <c r="L432" i="2"/>
  <c r="K432" i="2"/>
  <c r="J432" i="2"/>
  <c r="R384" i="2"/>
  <c r="R383" i="2" s="1"/>
  <c r="Q385" i="2"/>
  <c r="Q384" i="2" s="1"/>
  <c r="Q383" i="2" s="1"/>
  <c r="P384" i="2"/>
  <c r="P383" i="2" s="1"/>
  <c r="O384" i="2"/>
  <c r="O383" i="2" s="1"/>
  <c r="M384" i="2"/>
  <c r="M383" i="2" s="1"/>
  <c r="L384" i="2"/>
  <c r="L383" i="2" s="1"/>
  <c r="K384" i="2"/>
  <c r="K383" i="2" s="1"/>
  <c r="J384" i="2"/>
  <c r="J383" i="2" s="1"/>
  <c r="M363" i="2"/>
  <c r="L363" i="2"/>
  <c r="K363" i="2"/>
  <c r="J363" i="2"/>
  <c r="Q357" i="2"/>
  <c r="Q346" i="2" s="1"/>
  <c r="M328" i="2"/>
  <c r="L328" i="2"/>
  <c r="K328" i="2"/>
  <c r="J328" i="2"/>
  <c r="M323" i="2"/>
  <c r="L323" i="2"/>
  <c r="K323" i="2"/>
  <c r="J323" i="2"/>
  <c r="M315" i="2"/>
  <c r="L315" i="2"/>
  <c r="K315" i="2"/>
  <c r="J315" i="2"/>
  <c r="K309" i="2"/>
  <c r="M309" i="2"/>
  <c r="L309" i="2"/>
  <c r="J309" i="2"/>
  <c r="R298" i="2"/>
  <c r="R297" i="2" s="1"/>
  <c r="R296" i="2" s="1"/>
  <c r="R295" i="2" s="1"/>
  <c r="Q298" i="2"/>
  <c r="Q297" i="2" s="1"/>
  <c r="Q296" i="2" s="1"/>
  <c r="Q295" i="2" s="1"/>
  <c r="P298" i="2"/>
  <c r="P297" i="2" s="1"/>
  <c r="P296" i="2" s="1"/>
  <c r="P295" i="2" s="1"/>
  <c r="O298" i="2"/>
  <c r="O297" i="2" s="1"/>
  <c r="O296" i="2" s="1"/>
  <c r="O295" i="2" s="1"/>
  <c r="M300" i="2"/>
  <c r="M298" i="2" s="1"/>
  <c r="M297" i="2" s="1"/>
  <c r="M296" i="2" s="1"/>
  <c r="M295" i="2" s="1"/>
  <c r="L300" i="2"/>
  <c r="L298" i="2" s="1"/>
  <c r="L297" i="2" s="1"/>
  <c r="L296" i="2" s="1"/>
  <c r="L295" i="2" s="1"/>
  <c r="K300" i="2"/>
  <c r="K298" i="2" s="1"/>
  <c r="K297" i="2" s="1"/>
  <c r="K296" i="2" s="1"/>
  <c r="K295" i="2" s="1"/>
  <c r="J300" i="2"/>
  <c r="J298" i="2" s="1"/>
  <c r="J297" i="2" s="1"/>
  <c r="J296" i="2" s="1"/>
  <c r="J295" i="2" s="1"/>
  <c r="N283" i="2"/>
  <c r="Q283" i="2"/>
  <c r="Q282" i="2" s="1"/>
  <c r="M280" i="2"/>
  <c r="M279" i="2" s="1"/>
  <c r="L279" i="2"/>
  <c r="K279" i="2"/>
  <c r="J279" i="2"/>
  <c r="Q273" i="2"/>
  <c r="P273" i="2"/>
  <c r="O273" i="2"/>
  <c r="R271" i="2"/>
  <c r="Q271" i="2"/>
  <c r="P271" i="2"/>
  <c r="O271" i="2"/>
  <c r="M259" i="2"/>
  <c r="L259" i="2"/>
  <c r="K259" i="2"/>
  <c r="J259" i="2"/>
  <c r="M257" i="2"/>
  <c r="L257" i="2"/>
  <c r="K257" i="2"/>
  <c r="J257" i="2"/>
  <c r="M248" i="2"/>
  <c r="L248" i="2"/>
  <c r="L247" i="2" s="1"/>
  <c r="K248" i="2"/>
  <c r="K247" i="2" s="1"/>
  <c r="J248" i="2"/>
  <c r="J247" i="2" s="1"/>
  <c r="M244" i="2"/>
  <c r="L244" i="2"/>
  <c r="K244" i="2"/>
  <c r="J244" i="2"/>
  <c r="R212" i="2"/>
  <c r="Q212" i="2"/>
  <c r="P212" i="2"/>
  <c r="O212" i="2"/>
  <c r="Q207" i="2"/>
  <c r="R192" i="2"/>
  <c r="R191" i="2" s="1"/>
  <c r="R190" i="2" s="1"/>
  <c r="Q192" i="2"/>
  <c r="Q191" i="2" s="1"/>
  <c r="Q190" i="2" s="1"/>
  <c r="P192" i="2"/>
  <c r="P191" i="2" s="1"/>
  <c r="P190" i="2" s="1"/>
  <c r="O192" i="2"/>
  <c r="O191" i="2" s="1"/>
  <c r="O190" i="2" s="1"/>
  <c r="M193" i="2"/>
  <c r="M189" i="2" s="1"/>
  <c r="L193" i="2"/>
  <c r="L189" i="2" s="1"/>
  <c r="K193" i="2"/>
  <c r="K189" i="2" s="1"/>
  <c r="J193" i="2"/>
  <c r="J189" i="2" s="1"/>
  <c r="R188" i="2"/>
  <c r="R186" i="2"/>
  <c r="Q186" i="2"/>
  <c r="Q185" i="2" s="1"/>
  <c r="P186" i="2"/>
  <c r="P185" i="2" s="1"/>
  <c r="O186" i="2"/>
  <c r="O185" i="2" s="1"/>
  <c r="M184" i="2"/>
  <c r="M182" i="2" s="1"/>
  <c r="L182" i="2"/>
  <c r="K182" i="2"/>
  <c r="J182" i="2"/>
  <c r="N173" i="2"/>
  <c r="R173" i="2"/>
  <c r="Q173" i="2"/>
  <c r="P173" i="2"/>
  <c r="O173" i="2"/>
  <c r="M170" i="2"/>
  <c r="L170" i="2"/>
  <c r="K170" i="2"/>
  <c r="J170" i="2"/>
  <c r="R164" i="2"/>
  <c r="R163" i="2" s="1"/>
  <c r="R162" i="2" s="1"/>
  <c r="Q164" i="2"/>
  <c r="Q163" i="2" s="1"/>
  <c r="Q162" i="2" s="1"/>
  <c r="P164" i="2"/>
  <c r="P163" i="2" s="1"/>
  <c r="P162" i="2" s="1"/>
  <c r="O164" i="2"/>
  <c r="O163" i="2" s="1"/>
  <c r="O162" i="2" s="1"/>
  <c r="M165" i="2"/>
  <c r="M164" i="2" s="1"/>
  <c r="M163" i="2" s="1"/>
  <c r="M162" i="2" s="1"/>
  <c r="L165" i="2"/>
  <c r="L164" i="2" s="1"/>
  <c r="L163" i="2" s="1"/>
  <c r="L162" i="2" s="1"/>
  <c r="K165" i="2"/>
  <c r="K164" i="2" s="1"/>
  <c r="K163" i="2" s="1"/>
  <c r="K162" i="2" s="1"/>
  <c r="J165" i="2"/>
  <c r="J164" i="2" s="1"/>
  <c r="J163" i="2" s="1"/>
  <c r="J162" i="2" s="1"/>
  <c r="R158" i="2"/>
  <c r="R157" i="2" s="1"/>
  <c r="R156" i="2" s="1"/>
  <c r="R155" i="2" s="1"/>
  <c r="Q158" i="2"/>
  <c r="Q157" i="2" s="1"/>
  <c r="Q156" i="2" s="1"/>
  <c r="Q155" i="2" s="1"/>
  <c r="P158" i="2"/>
  <c r="P157" i="2" s="1"/>
  <c r="P156" i="2" s="1"/>
  <c r="P155" i="2" s="1"/>
  <c r="O158" i="2"/>
  <c r="O157" i="2" s="1"/>
  <c r="O156" i="2" s="1"/>
  <c r="O155" i="2" s="1"/>
  <c r="M159" i="2"/>
  <c r="M158" i="2" s="1"/>
  <c r="M157" i="2" s="1"/>
  <c r="M156" i="2" s="1"/>
  <c r="M155" i="2" s="1"/>
  <c r="L159" i="2"/>
  <c r="L158" i="2" s="1"/>
  <c r="L157" i="2" s="1"/>
  <c r="L156" i="2" s="1"/>
  <c r="L155" i="2" s="1"/>
  <c r="K159" i="2"/>
  <c r="K158" i="2" s="1"/>
  <c r="K157" i="2" s="1"/>
  <c r="K156" i="2" s="1"/>
  <c r="K155" i="2" s="1"/>
  <c r="J159" i="2"/>
  <c r="J158" i="2" s="1"/>
  <c r="J157" i="2" s="1"/>
  <c r="J156" i="2" s="1"/>
  <c r="J155" i="2" s="1"/>
  <c r="M138" i="2"/>
  <c r="M137" i="2" s="1"/>
  <c r="L138" i="2"/>
  <c r="L137" i="2" s="1"/>
  <c r="K138" i="2"/>
  <c r="K137" i="2" s="1"/>
  <c r="J138" i="2"/>
  <c r="J137" i="2" s="1"/>
  <c r="M135" i="2"/>
  <c r="L135" i="2"/>
  <c r="K135" i="2"/>
  <c r="J135" i="2"/>
  <c r="M129" i="2"/>
  <c r="L129" i="2"/>
  <c r="K129" i="2"/>
  <c r="J129" i="2"/>
  <c r="M126" i="2"/>
  <c r="M122" i="2" s="1"/>
  <c r="L126" i="2"/>
  <c r="L122" i="2" s="1"/>
  <c r="K126" i="2"/>
  <c r="J126" i="2"/>
  <c r="R105" i="2"/>
  <c r="R104" i="2" s="1"/>
  <c r="R103" i="2" s="1"/>
  <c r="R102" i="2" s="1"/>
  <c r="Q105" i="2"/>
  <c r="Q104" i="2" s="1"/>
  <c r="Q103" i="2" s="1"/>
  <c r="Q102" i="2" s="1"/>
  <c r="P105" i="2"/>
  <c r="P104" i="2" s="1"/>
  <c r="P103" i="2" s="1"/>
  <c r="P102" i="2" s="1"/>
  <c r="O105" i="2"/>
  <c r="O104" i="2" s="1"/>
  <c r="O103" i="2" s="1"/>
  <c r="O102" i="2" s="1"/>
  <c r="M108" i="2"/>
  <c r="M105" i="2" s="1"/>
  <c r="M104" i="2" s="1"/>
  <c r="M103" i="2" s="1"/>
  <c r="M102" i="2" s="1"/>
  <c r="L108" i="2"/>
  <c r="L105" i="2" s="1"/>
  <c r="L104" i="2" s="1"/>
  <c r="L103" i="2" s="1"/>
  <c r="L102" i="2" s="1"/>
  <c r="K108" i="2"/>
  <c r="K105" i="2" s="1"/>
  <c r="K104" i="2" s="1"/>
  <c r="K103" i="2" s="1"/>
  <c r="K102" i="2" s="1"/>
  <c r="J108" i="2"/>
  <c r="J105" i="2" s="1"/>
  <c r="J104" i="2" s="1"/>
  <c r="J103" i="2" s="1"/>
  <c r="J102" i="2" s="1"/>
  <c r="R98" i="2"/>
  <c r="R97" i="2" s="1"/>
  <c r="R96" i="2" s="1"/>
  <c r="R95" i="2" s="1"/>
  <c r="Q98" i="2"/>
  <c r="Q97" i="2" s="1"/>
  <c r="Q96" i="2" s="1"/>
  <c r="Q95" i="2" s="1"/>
  <c r="P98" i="2"/>
  <c r="P97" i="2" s="1"/>
  <c r="P96" i="2" s="1"/>
  <c r="P95" i="2" s="1"/>
  <c r="O98" i="2"/>
  <c r="O97" i="2" s="1"/>
  <c r="O96" i="2" s="1"/>
  <c r="O95" i="2" s="1"/>
  <c r="M100" i="2"/>
  <c r="M99" i="2" s="1"/>
  <c r="M98" i="2" s="1"/>
  <c r="M97" i="2" s="1"/>
  <c r="M96" i="2" s="1"/>
  <c r="M95" i="2" s="1"/>
  <c r="L100" i="2"/>
  <c r="L99" i="2" s="1"/>
  <c r="L98" i="2" s="1"/>
  <c r="L97" i="2" s="1"/>
  <c r="L96" i="2" s="1"/>
  <c r="L95" i="2" s="1"/>
  <c r="K100" i="2"/>
  <c r="K99" i="2" s="1"/>
  <c r="K98" i="2" s="1"/>
  <c r="K97" i="2" s="1"/>
  <c r="K96" i="2" s="1"/>
  <c r="K95" i="2" s="1"/>
  <c r="J100" i="2"/>
  <c r="J99" i="2" s="1"/>
  <c r="J98" i="2" s="1"/>
  <c r="J97" i="2" s="1"/>
  <c r="J96" i="2" s="1"/>
  <c r="J95" i="2" s="1"/>
  <c r="M93" i="2"/>
  <c r="L93" i="2"/>
  <c r="K93" i="2"/>
  <c r="J93" i="2"/>
  <c r="M89" i="2"/>
  <c r="L89" i="2"/>
  <c r="K89" i="2"/>
  <c r="J89" i="2"/>
  <c r="R74" i="2"/>
  <c r="Q74" i="2"/>
  <c r="P74" i="2"/>
  <c r="O74" i="2"/>
  <c r="R72" i="2"/>
  <c r="P72" i="2"/>
  <c r="O72" i="2"/>
  <c r="M65" i="2"/>
  <c r="L65" i="2"/>
  <c r="K65" i="2"/>
  <c r="J65" i="2"/>
  <c r="L64" i="2"/>
  <c r="R57" i="2"/>
  <c r="P57" i="2"/>
  <c r="O57" i="2"/>
  <c r="R54" i="2"/>
  <c r="Q54" i="2"/>
  <c r="P54" i="2"/>
  <c r="O54" i="2"/>
  <c r="M52" i="2"/>
  <c r="M47" i="2" s="1"/>
  <c r="L47" i="2"/>
  <c r="K47" i="2"/>
  <c r="J47" i="2"/>
  <c r="M38" i="2"/>
  <c r="M34" i="2" s="1"/>
  <c r="L38" i="2"/>
  <c r="L34" i="2" s="1"/>
  <c r="K38" i="2"/>
  <c r="K34" i="2" s="1"/>
  <c r="J38" i="2"/>
  <c r="J34" i="2" s="1"/>
  <c r="I32" i="2"/>
  <c r="R31" i="2"/>
  <c r="R30" i="2" s="1"/>
  <c r="R29" i="2" s="1"/>
  <c r="Q31" i="2"/>
  <c r="Q30" i="2" s="1"/>
  <c r="Q29" i="2" s="1"/>
  <c r="P31" i="2"/>
  <c r="P30" i="2" s="1"/>
  <c r="P29" i="2" s="1"/>
  <c r="O31" i="2"/>
  <c r="O30" i="2" s="1"/>
  <c r="O29" i="2" s="1"/>
  <c r="M32" i="2"/>
  <c r="M31" i="2" s="1"/>
  <c r="M30" i="2" s="1"/>
  <c r="M29" i="2" s="1"/>
  <c r="L32" i="2"/>
  <c r="L31" i="2" s="1"/>
  <c r="L30" i="2" s="1"/>
  <c r="L29" i="2" s="1"/>
  <c r="K32" i="2"/>
  <c r="K31" i="2" s="1"/>
  <c r="K30" i="2" s="1"/>
  <c r="K29" i="2" s="1"/>
  <c r="J32" i="2"/>
  <c r="J31" i="2" s="1"/>
  <c r="J30" i="2" s="1"/>
  <c r="J29" i="2" s="1"/>
  <c r="I27" i="2"/>
  <c r="R26" i="2"/>
  <c r="R25" i="2" s="1"/>
  <c r="R24" i="2" s="1"/>
  <c r="Q26" i="2"/>
  <c r="Q25" i="2" s="1"/>
  <c r="Q24" i="2" s="1"/>
  <c r="P26" i="2"/>
  <c r="P25" i="2" s="1"/>
  <c r="P24" i="2" s="1"/>
  <c r="O26" i="2"/>
  <c r="O25" i="2" s="1"/>
  <c r="O24" i="2" s="1"/>
  <c r="M27" i="2"/>
  <c r="M26" i="2" s="1"/>
  <c r="M25" i="2" s="1"/>
  <c r="M24" i="2" s="1"/>
  <c r="L27" i="2"/>
  <c r="L26" i="2" s="1"/>
  <c r="L25" i="2" s="1"/>
  <c r="L24" i="2" s="1"/>
  <c r="K27" i="2"/>
  <c r="K26" i="2" s="1"/>
  <c r="K25" i="2" s="1"/>
  <c r="K24" i="2" s="1"/>
  <c r="J27" i="2"/>
  <c r="J26" i="2" s="1"/>
  <c r="J25" i="2" s="1"/>
  <c r="J24" i="2" s="1"/>
  <c r="R21" i="2"/>
  <c r="R20" i="2" s="1"/>
  <c r="R19" i="2" s="1"/>
  <c r="Q21" i="2"/>
  <c r="Q20" i="2" s="1"/>
  <c r="Q19" i="2" s="1"/>
  <c r="P21" i="2"/>
  <c r="P20" i="2" s="1"/>
  <c r="P19" i="2" s="1"/>
  <c r="O21" i="2"/>
  <c r="O20" i="2" s="1"/>
  <c r="O19" i="2" s="1"/>
  <c r="M22" i="2"/>
  <c r="M21" i="2" s="1"/>
  <c r="M20" i="2" s="1"/>
  <c r="M19" i="2" s="1"/>
  <c r="L22" i="2"/>
  <c r="L21" i="2" s="1"/>
  <c r="L20" i="2" s="1"/>
  <c r="L19" i="2" s="1"/>
  <c r="K22" i="2"/>
  <c r="K21" i="2" s="1"/>
  <c r="K20" i="2" s="1"/>
  <c r="K19" i="2" s="1"/>
  <c r="J22" i="2"/>
  <c r="J21" i="2" s="1"/>
  <c r="J20" i="2" s="1"/>
  <c r="J19" i="2" s="1"/>
  <c r="M18" i="2"/>
  <c r="M15" i="2"/>
  <c r="R12" i="2"/>
  <c r="R11" i="2" s="1"/>
  <c r="R10" i="2" s="1"/>
  <c r="Q12" i="2"/>
  <c r="Q11" i="2" s="1"/>
  <c r="Q10" i="2" s="1"/>
  <c r="P12" i="2"/>
  <c r="P11" i="2" s="1"/>
  <c r="P10" i="2" s="1"/>
  <c r="O12" i="2"/>
  <c r="O11" i="2" s="1"/>
  <c r="O10" i="2" s="1"/>
  <c r="L13" i="2"/>
  <c r="L12" i="2" s="1"/>
  <c r="L11" i="2" s="1"/>
  <c r="L10" i="2" s="1"/>
  <c r="K13" i="2"/>
  <c r="K12" i="2" s="1"/>
  <c r="K11" i="2" s="1"/>
  <c r="K10" i="2" s="1"/>
  <c r="J13" i="2"/>
  <c r="J12" i="2" s="1"/>
  <c r="J11" i="2" s="1"/>
  <c r="J10" i="2" s="1"/>
  <c r="I24" i="2" l="1"/>
  <c r="T27" i="2"/>
  <c r="N282" i="2"/>
  <c r="T283" i="2"/>
  <c r="I29" i="2"/>
  <c r="T32" i="2"/>
  <c r="N167" i="2"/>
  <c r="T173" i="2"/>
  <c r="N476" i="2"/>
  <c r="T486" i="2"/>
  <c r="K55" i="13"/>
  <c r="M55" i="13" s="1"/>
  <c r="T179" i="2"/>
  <c r="K178" i="13"/>
  <c r="K176" i="13" s="1"/>
  <c r="T2236" i="2"/>
  <c r="B1049" i="2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R793" i="2"/>
  <c r="R792" i="2" s="1"/>
  <c r="K2249" i="2"/>
  <c r="K2248" i="2" s="1"/>
  <c r="K2247" i="2" s="1"/>
  <c r="K2246" i="2" s="1"/>
  <c r="B183" i="2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K829" i="2"/>
  <c r="L2200" i="2"/>
  <c r="L2197" i="2" s="1"/>
  <c r="L2196" i="2" s="1"/>
  <c r="L2174" i="2" s="1"/>
  <c r="M2200" i="2"/>
  <c r="M2197" i="2" s="1"/>
  <c r="M2196" i="2" s="1"/>
  <c r="M2174" i="2" s="1"/>
  <c r="K1774" i="2"/>
  <c r="K1773" i="2" s="1"/>
  <c r="L1774" i="2"/>
  <c r="L1773" i="2" s="1"/>
  <c r="J1774" i="2"/>
  <c r="J1773" i="2" s="1"/>
  <c r="M1774" i="2"/>
  <c r="M1773" i="2" s="1"/>
  <c r="P1468" i="2"/>
  <c r="K503" i="2"/>
  <c r="B591" i="2"/>
  <c r="O503" i="2"/>
  <c r="P503" i="2"/>
  <c r="K122" i="2"/>
  <c r="J122" i="2"/>
  <c r="L1615" i="2"/>
  <c r="L192" i="2"/>
  <c r="L191" i="2" s="1"/>
  <c r="L190" i="2" s="1"/>
  <c r="M192" i="2"/>
  <c r="M191" i="2" s="1"/>
  <c r="M190" i="2" s="1"/>
  <c r="K192" i="2"/>
  <c r="K191" i="2" s="1"/>
  <c r="K190" i="2" s="1"/>
  <c r="J192" i="2"/>
  <c r="J191" i="2" s="1"/>
  <c r="J190" i="2" s="1"/>
  <c r="B123" i="2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L1795" i="2"/>
  <c r="L1794" i="2" s="1"/>
  <c r="M1795" i="2"/>
  <c r="M1794" i="2" s="1"/>
  <c r="M1363" i="2"/>
  <c r="M1362" i="2" s="1"/>
  <c r="J1310" i="2"/>
  <c r="J1309" i="2" s="1"/>
  <c r="L1310" i="2"/>
  <c r="L1309" i="2" s="1"/>
  <c r="M1310" i="2"/>
  <c r="M1309" i="2" s="1"/>
  <c r="K1310" i="2"/>
  <c r="K1309" i="2" s="1"/>
  <c r="J1278" i="2"/>
  <c r="J1277" i="2" s="1"/>
  <c r="K1278" i="2"/>
  <c r="K1277" i="2" s="1"/>
  <c r="M1278" i="2"/>
  <c r="M1277" i="2" s="1"/>
  <c r="L1278" i="2"/>
  <c r="L1277" i="2" s="1"/>
  <c r="M1244" i="2"/>
  <c r="M1243" i="2" s="1"/>
  <c r="K1206" i="2"/>
  <c r="K1205" i="2" s="1"/>
  <c r="L1206" i="2"/>
  <c r="L1205" i="2" s="1"/>
  <c r="J1206" i="2"/>
  <c r="J1205" i="2" s="1"/>
  <c r="M1206" i="2"/>
  <c r="M1205" i="2" s="1"/>
  <c r="M1175" i="2"/>
  <c r="M1174" i="2" s="1"/>
  <c r="L1175" i="2"/>
  <c r="L1174" i="2" s="1"/>
  <c r="J1175" i="2"/>
  <c r="J1174" i="2" s="1"/>
  <c r="K1175" i="2"/>
  <c r="K1174" i="2" s="1"/>
  <c r="M1148" i="2"/>
  <c r="M1147" i="2" s="1"/>
  <c r="M1092" i="2"/>
  <c r="M1091" i="2" s="1"/>
  <c r="M1117" i="2"/>
  <c r="M1116" i="2" s="1"/>
  <c r="J1092" i="2"/>
  <c r="J1091" i="2" s="1"/>
  <c r="M330" i="2"/>
  <c r="J330" i="2"/>
  <c r="L330" i="2"/>
  <c r="K330" i="2"/>
  <c r="J87" i="2"/>
  <c r="J86" i="2" s="1"/>
  <c r="J85" i="2" s="1"/>
  <c r="J84" i="2" s="1"/>
  <c r="I317" i="2"/>
  <c r="M220" i="2"/>
  <c r="M219" i="2" s="1"/>
  <c r="K1516" i="2"/>
  <c r="J1593" i="2"/>
  <c r="J1603" i="2"/>
  <c r="K1701" i="2"/>
  <c r="K1700" i="2" s="1"/>
  <c r="R1701" i="2"/>
  <c r="R1700" i="2" s="1"/>
  <c r="R71" i="2"/>
  <c r="R63" i="2" s="1"/>
  <c r="R62" i="2" s="1"/>
  <c r="R61" i="2" s="1"/>
  <c r="R60" i="2" s="1"/>
  <c r="L1547" i="2"/>
  <c r="P1455" i="2"/>
  <c r="Q1491" i="2"/>
  <c r="P1516" i="2"/>
  <c r="M1526" i="2"/>
  <c r="L1636" i="2"/>
  <c r="L1635" i="2" s="1"/>
  <c r="K1723" i="2"/>
  <c r="K1722" i="2" s="1"/>
  <c r="L320" i="2"/>
  <c r="L319" i="2" s="1"/>
  <c r="L318" i="2" s="1"/>
  <c r="L317" i="2" s="1"/>
  <c r="K1481" i="2"/>
  <c r="R1481" i="2"/>
  <c r="Q1516" i="2"/>
  <c r="J1526" i="2"/>
  <c r="Q1557" i="2"/>
  <c r="R1662" i="2"/>
  <c r="R1661" i="2" s="1"/>
  <c r="M2276" i="2"/>
  <c r="M2271" i="2" s="1"/>
  <c r="R2276" i="2"/>
  <c r="R2271" i="2" s="1"/>
  <c r="O1526" i="2"/>
  <c r="J2573" i="2"/>
  <c r="J2572" i="2" s="1"/>
  <c r="J2571" i="2" s="1"/>
  <c r="M2530" i="2"/>
  <c r="M2529" i="2" s="1"/>
  <c r="M2528" i="2" s="1"/>
  <c r="L2530" i="2"/>
  <c r="L2529" i="2" s="1"/>
  <c r="L2528" i="2" s="1"/>
  <c r="J2530" i="2"/>
  <c r="J2529" i="2" s="1"/>
  <c r="J2528" i="2" s="1"/>
  <c r="K2530" i="2"/>
  <c r="K2529" i="2" s="1"/>
  <c r="K2528" i="2" s="1"/>
  <c r="K2456" i="2"/>
  <c r="K2455" i="2" s="1"/>
  <c r="K2454" i="2"/>
  <c r="J2456" i="2"/>
  <c r="J2455" i="2" s="1"/>
  <c r="J2454" i="2"/>
  <c r="L2456" i="2"/>
  <c r="L2455" i="2" s="1"/>
  <c r="L2454" i="2"/>
  <c r="M2456" i="2"/>
  <c r="M2455" i="2" s="1"/>
  <c r="M2454" i="2"/>
  <c r="L2424" i="2"/>
  <c r="L2423" i="2" s="1"/>
  <c r="L2422" i="2" s="1"/>
  <c r="L2421" i="2" s="1"/>
  <c r="Q2408" i="2"/>
  <c r="B2372" i="2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P1990" i="2"/>
  <c r="P1986" i="2" s="1"/>
  <c r="R1942" i="2"/>
  <c r="Q1922" i="2"/>
  <c r="Q1919" i="2" s="1"/>
  <c r="Q1918" i="2" s="1"/>
  <c r="L63" i="2"/>
  <c r="L62" i="2" s="1"/>
  <c r="L61" i="2" s="1"/>
  <c r="L60" i="2" s="1"/>
  <c r="R1922" i="2"/>
  <c r="R1919" i="2" s="1"/>
  <c r="R1918" i="2" s="1"/>
  <c r="O1922" i="2"/>
  <c r="O1917" i="2" s="1"/>
  <c r="P1917" i="2"/>
  <c r="P347" i="2"/>
  <c r="M388" i="2"/>
  <c r="M382" i="2" s="1"/>
  <c r="M381" i="2" s="1"/>
  <c r="P388" i="2"/>
  <c r="P382" i="2" s="1"/>
  <c r="P381" i="2" s="1"/>
  <c r="N1899" i="2"/>
  <c r="J812" i="2"/>
  <c r="K45" i="2"/>
  <c r="K44" i="2" s="1"/>
  <c r="K43" i="2" s="1"/>
  <c r="K42" i="2" s="1"/>
  <c r="L1944" i="2"/>
  <c r="L1943" i="2" s="1"/>
  <c r="O1593" i="2"/>
  <c r="B1871" i="2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L1906" i="2"/>
  <c r="L1899" i="2" s="1"/>
  <c r="L2440" i="2"/>
  <c r="L2439" i="2" s="1"/>
  <c r="L2434" i="2" s="1"/>
  <c r="K1148" i="2"/>
  <c r="K1147" i="2" s="1"/>
  <c r="R206" i="2"/>
  <c r="R199" i="2" s="1"/>
  <c r="R198" i="2" s="1"/>
  <c r="M1547" i="2"/>
  <c r="O2564" i="2"/>
  <c r="O2563" i="2" s="1"/>
  <c r="O2562" i="2" s="1"/>
  <c r="Q494" i="2"/>
  <c r="Q491" i="2" s="1"/>
  <c r="Q490" i="2" s="1"/>
  <c r="Q489" i="2" s="1"/>
  <c r="Q488" i="2" s="1"/>
  <c r="Q1900" i="2"/>
  <c r="J1917" i="2"/>
  <c r="M256" i="2"/>
  <c r="M255" i="2" s="1"/>
  <c r="M254" i="2" s="1"/>
  <c r="M253" i="2" s="1"/>
  <c r="P256" i="2"/>
  <c r="P255" i="2" s="1"/>
  <c r="P254" i="2" s="1"/>
  <c r="P253" i="2" s="1"/>
  <c r="M45" i="2"/>
  <c r="M44" i="2" s="1"/>
  <c r="M43" i="2" s="1"/>
  <c r="M42" i="2" s="1"/>
  <c r="L347" i="2"/>
  <c r="L264" i="2"/>
  <c r="L263" i="2" s="1"/>
  <c r="L262" i="2" s="1"/>
  <c r="L261" i="2" s="1"/>
  <c r="R367" i="2"/>
  <c r="R362" i="2" s="1"/>
  <c r="R361" i="2" s="1"/>
  <c r="R360" i="2" s="1"/>
  <c r="R359" i="2" s="1"/>
  <c r="M491" i="2"/>
  <c r="M490" i="2" s="1"/>
  <c r="M489" i="2" s="1"/>
  <c r="M488" i="2" s="1"/>
  <c r="L812" i="2"/>
  <c r="M476" i="2"/>
  <c r="M475" i="2" s="1"/>
  <c r="P476" i="2"/>
  <c r="P475" i="2" s="1"/>
  <c r="J2289" i="2"/>
  <c r="J2288" i="2" s="1"/>
  <c r="K2477" i="2"/>
  <c r="K2476" i="2" s="1"/>
  <c r="K2468" i="2" s="1"/>
  <c r="L45" i="2"/>
  <c r="L44" i="2" s="1"/>
  <c r="L43" i="2" s="1"/>
  <c r="L42" i="2" s="1"/>
  <c r="K347" i="2"/>
  <c r="I1205" i="2"/>
  <c r="Q1593" i="2"/>
  <c r="O1900" i="2"/>
  <c r="I38" i="2"/>
  <c r="T38" i="2" s="1"/>
  <c r="J2564" i="2"/>
  <c r="J2563" i="2" s="1"/>
  <c r="J2562" i="2" s="1"/>
  <c r="M87" i="2"/>
  <c r="M86" i="2" s="1"/>
  <c r="M85" i="2" s="1"/>
  <c r="M84" i="2" s="1"/>
  <c r="L1536" i="2"/>
  <c r="R1547" i="2"/>
  <c r="R1455" i="2"/>
  <c r="K2293" i="2"/>
  <c r="Q87" i="2"/>
  <c r="Q86" i="2" s="1"/>
  <c r="Q85" i="2" s="1"/>
  <c r="Q84" i="2" s="1"/>
  <c r="Q83" i="2" s="1"/>
  <c r="Q82" i="2" s="1"/>
  <c r="Q81" i="2" s="1"/>
  <c r="K87" i="2"/>
  <c r="K86" i="2" s="1"/>
  <c r="K85" i="2" s="1"/>
  <c r="K84" i="2" s="1"/>
  <c r="I102" i="2"/>
  <c r="J256" i="2"/>
  <c r="J255" i="2" s="1"/>
  <c r="J254" i="2" s="1"/>
  <c r="J253" i="2" s="1"/>
  <c r="M452" i="2"/>
  <c r="M451" i="2" s="1"/>
  <c r="Q584" i="2"/>
  <c r="Q583" i="2" s="1"/>
  <c r="Q561" i="2" s="1"/>
  <c r="O1148" i="2"/>
  <c r="O1147" i="2" s="1"/>
  <c r="R1654" i="2"/>
  <c r="R1653" i="2" s="1"/>
  <c r="K1662" i="2"/>
  <c r="K1661" i="2" s="1"/>
  <c r="R1681" i="2"/>
  <c r="R1680" i="2" s="1"/>
  <c r="Q1723" i="2"/>
  <c r="Q1722" i="2" s="1"/>
  <c r="P2100" i="2"/>
  <c r="P2091" i="2" s="1"/>
  <c r="P2090" i="2" s="1"/>
  <c r="Q236" i="2"/>
  <c r="Q235" i="2" s="1"/>
  <c r="Q234" i="2" s="1"/>
  <c r="Q233" i="2" s="1"/>
  <c r="O278" i="2"/>
  <c r="O277" i="2" s="1"/>
  <c r="O276" i="2" s="1"/>
  <c r="O275" i="2" s="1"/>
  <c r="O444" i="2"/>
  <c r="O429" i="2" s="1"/>
  <c r="O428" i="2" s="1"/>
  <c r="O427" i="2" s="1"/>
  <c r="O426" i="2" s="1"/>
  <c r="O584" i="2"/>
  <c r="O583" i="2" s="1"/>
  <c r="O561" i="2" s="1"/>
  <c r="Q1481" i="2"/>
  <c r="J1989" i="2"/>
  <c r="J1988" i="2" s="1"/>
  <c r="J1987" i="2" s="1"/>
  <c r="O36" i="2"/>
  <c r="O35" i="2" s="1"/>
  <c r="O9" i="2" s="1"/>
  <c r="J63" i="2"/>
  <c r="J62" i="2" s="1"/>
  <c r="J61" i="2" s="1"/>
  <c r="J60" i="2" s="1"/>
  <c r="O87" i="2"/>
  <c r="O86" i="2" s="1"/>
  <c r="O85" i="2" s="1"/>
  <c r="O84" i="2" s="1"/>
  <c r="O83" i="2" s="1"/>
  <c r="O82" i="2" s="1"/>
  <c r="O81" i="2" s="1"/>
  <c r="J181" i="2"/>
  <c r="J180" i="2" s="1"/>
  <c r="J179" i="2" s="1"/>
  <c r="Q181" i="2"/>
  <c r="Q180" i="2" s="1"/>
  <c r="Q179" i="2" s="1"/>
  <c r="J362" i="2"/>
  <c r="J361" i="2" s="1"/>
  <c r="J360" i="2" s="1"/>
  <c r="J359" i="2" s="1"/>
  <c r="O1990" i="2"/>
  <c r="R2052" i="2"/>
  <c r="R2051" i="2" s="1"/>
  <c r="R2050" i="2" s="1"/>
  <c r="R2049" i="2" s="1"/>
  <c r="O564" i="2"/>
  <c r="O563" i="2" s="1"/>
  <c r="J584" i="2"/>
  <c r="J583" i="2" s="1"/>
  <c r="J561" i="2" s="1"/>
  <c r="O793" i="2"/>
  <c r="O792" i="2" s="1"/>
  <c r="K1455" i="2"/>
  <c r="J1616" i="2"/>
  <c r="M1873" i="2"/>
  <c r="M1872" i="2" s="1"/>
  <c r="M1871" i="2" s="1"/>
  <c r="M1870" i="2" s="1"/>
  <c r="R1900" i="2"/>
  <c r="Q2454" i="2"/>
  <c r="L199" i="2"/>
  <c r="L198" i="2" s="1"/>
  <c r="O256" i="2"/>
  <c r="O255" i="2" s="1"/>
  <c r="O254" i="2" s="1"/>
  <c r="O253" i="2" s="1"/>
  <c r="Q306" i="2"/>
  <c r="Q305" i="2" s="1"/>
  <c r="Q304" i="2" s="1"/>
  <c r="Q303" i="2" s="1"/>
  <c r="M342" i="2"/>
  <c r="M341" i="2" s="1"/>
  <c r="L388" i="2"/>
  <c r="L382" i="2" s="1"/>
  <c r="L381" i="2" s="1"/>
  <c r="J388" i="2"/>
  <c r="J382" i="2" s="1"/>
  <c r="J381" i="2" s="1"/>
  <c r="M793" i="2"/>
  <c r="M792" i="2" s="1"/>
  <c r="M1603" i="2"/>
  <c r="K1636" i="2"/>
  <c r="K1635" i="2" s="1"/>
  <c r="K1748" i="2"/>
  <c r="K1747" i="2" s="1"/>
  <c r="J1794" i="2"/>
  <c r="P2052" i="2"/>
  <c r="P2051" i="2" s="1"/>
  <c r="P2050" i="2" s="1"/>
  <c r="P2049" i="2" s="1"/>
  <c r="N2220" i="2"/>
  <c r="R2238" i="2"/>
  <c r="R2237" i="2" s="1"/>
  <c r="R2236" i="2" s="1"/>
  <c r="R2227" i="2" s="1"/>
  <c r="K2440" i="2"/>
  <c r="K2439" i="2" s="1"/>
  <c r="K2434" i="2" s="1"/>
  <c r="M2564" i="2"/>
  <c r="M2563" i="2" s="1"/>
  <c r="M2562" i="2" s="1"/>
  <c r="L1344" i="2"/>
  <c r="L1343" i="2" s="1"/>
  <c r="L1516" i="2"/>
  <c r="P1616" i="2"/>
  <c r="R1794" i="2"/>
  <c r="J2052" i="2"/>
  <c r="J2051" i="2" s="1"/>
  <c r="J2050" i="2" s="1"/>
  <c r="J2049" i="2" s="1"/>
  <c r="L2289" i="2"/>
  <c r="L2288" i="2" s="1"/>
  <c r="M2436" i="2"/>
  <c r="M2435" i="2" s="1"/>
  <c r="J2249" i="2"/>
  <c r="J2248" i="2" s="1"/>
  <c r="J2247" i="2" s="1"/>
  <c r="J2246" i="2" s="1"/>
  <c r="J36" i="2"/>
  <c r="J35" i="2" s="1"/>
  <c r="J9" i="2" s="1"/>
  <c r="M181" i="2"/>
  <c r="M180" i="2" s="1"/>
  <c r="M179" i="2" s="1"/>
  <c r="N35" i="3"/>
  <c r="Q388" i="2"/>
  <c r="Q382" i="2" s="1"/>
  <c r="Q381" i="2" s="1"/>
  <c r="J1148" i="2"/>
  <c r="J1147" i="2" s="1"/>
  <c r="P220" i="2"/>
  <c r="P219" i="2" s="1"/>
  <c r="M429" i="2"/>
  <c r="M428" i="2" s="1"/>
  <c r="M427" i="2" s="1"/>
  <c r="M426" i="2" s="1"/>
  <c r="M598" i="2"/>
  <c r="M597" i="2" s="1"/>
  <c r="M596" i="2" s="1"/>
  <c r="M595" i="2" s="1"/>
  <c r="J134" i="2"/>
  <c r="J133" i="2" s="1"/>
  <c r="J132" i="2" s="1"/>
  <c r="J131" i="2" s="1"/>
  <c r="Q134" i="2"/>
  <c r="Q133" i="2" s="1"/>
  <c r="Q132" i="2" s="1"/>
  <c r="Q131" i="2" s="1"/>
  <c r="O206" i="2"/>
  <c r="O199" i="2" s="1"/>
  <c r="O198" i="2" s="1"/>
  <c r="Q1148" i="2"/>
  <c r="Q1147" i="2" s="1"/>
  <c r="J1117" i="2"/>
  <c r="J1116" i="2" s="1"/>
  <c r="K181" i="2"/>
  <c r="K180" i="2" s="1"/>
  <c r="K179" i="2" s="1"/>
  <c r="M236" i="2"/>
  <c r="M235" i="2" s="1"/>
  <c r="M234" i="2" s="1"/>
  <c r="M233" i="2" s="1"/>
  <c r="L278" i="2"/>
  <c r="L277" i="2" s="1"/>
  <c r="L276" i="2" s="1"/>
  <c r="L275" i="2" s="1"/>
  <c r="J476" i="2"/>
  <c r="J475" i="2" s="1"/>
  <c r="K491" i="2"/>
  <c r="K490" i="2" s="1"/>
  <c r="K489" i="2" s="1"/>
  <c r="K488" i="2" s="1"/>
  <c r="P564" i="2"/>
  <c r="P563" i="2" s="1"/>
  <c r="L793" i="2"/>
  <c r="L792" i="2" s="1"/>
  <c r="J793" i="2"/>
  <c r="J792" i="2" s="1"/>
  <c r="P1344" i="2"/>
  <c r="P1343" i="2" s="1"/>
  <c r="R125" i="2"/>
  <c r="R124" i="2" s="1"/>
  <c r="R123" i="2" s="1"/>
  <c r="R185" i="2"/>
  <c r="R181" i="2" s="1"/>
  <c r="R180" i="2" s="1"/>
  <c r="R179" i="2" s="1"/>
  <c r="M264" i="2"/>
  <c r="M263" i="2" s="1"/>
  <c r="M262" i="2" s="1"/>
  <c r="M261" i="2" s="1"/>
  <c r="P270" i="2"/>
  <c r="P264" i="2" s="1"/>
  <c r="P263" i="2" s="1"/>
  <c r="P262" i="2" s="1"/>
  <c r="P261" i="2" s="1"/>
  <c r="K306" i="2"/>
  <c r="K305" i="2" s="1"/>
  <c r="K304" i="2" s="1"/>
  <c r="K303" i="2" s="1"/>
  <c r="R306" i="2"/>
  <c r="R305" i="2" s="1"/>
  <c r="R304" i="2" s="1"/>
  <c r="R303" i="2" s="1"/>
  <c r="J320" i="2"/>
  <c r="J319" i="2" s="1"/>
  <c r="J318" i="2" s="1"/>
  <c r="J317" i="2" s="1"/>
  <c r="Q320" i="2"/>
  <c r="Q319" i="2" s="1"/>
  <c r="Q318" i="2" s="1"/>
  <c r="Q317" i="2" s="1"/>
  <c r="K342" i="2"/>
  <c r="K341" i="2" s="1"/>
  <c r="R388" i="2"/>
  <c r="R382" i="2" s="1"/>
  <c r="R381" i="2" s="1"/>
  <c r="P1091" i="2"/>
  <c r="P1089" i="2" s="1"/>
  <c r="P1086" i="2" s="1"/>
  <c r="P1074" i="2" s="1"/>
  <c r="P1073" i="2" s="1"/>
  <c r="O2423" i="2"/>
  <c r="O2422" i="2" s="1"/>
  <c r="O2421" i="2" s="1"/>
  <c r="P812" i="2"/>
  <c r="P793" i="2" s="1"/>
  <c r="P792" i="2" s="1"/>
  <c r="R812" i="2"/>
  <c r="O1873" i="2"/>
  <c r="O1872" i="2" s="1"/>
  <c r="O1871" i="2" s="1"/>
  <c r="O1870" i="2" s="1"/>
  <c r="R2197" i="2"/>
  <c r="R2196" i="2" s="1"/>
  <c r="R2174" i="2" s="1"/>
  <c r="M36" i="2"/>
  <c r="M35" i="2" s="1"/>
  <c r="O53" i="2"/>
  <c r="O45" i="2" s="1"/>
  <c r="O44" i="2" s="1"/>
  <c r="O43" i="2" s="1"/>
  <c r="O42" i="2" s="1"/>
  <c r="O181" i="2"/>
  <c r="O180" i="2" s="1"/>
  <c r="O179" i="2" s="1"/>
  <c r="J220" i="2"/>
  <c r="J219" i="2" s="1"/>
  <c r="Q220" i="2"/>
  <c r="Q219" i="2" s="1"/>
  <c r="J264" i="2"/>
  <c r="J263" i="2" s="1"/>
  <c r="J262" i="2" s="1"/>
  <c r="J261" i="2" s="1"/>
  <c r="R270" i="2"/>
  <c r="R264" i="2" s="1"/>
  <c r="R263" i="2" s="1"/>
  <c r="R262" i="2" s="1"/>
  <c r="R261" i="2" s="1"/>
  <c r="O494" i="2"/>
  <c r="O491" i="2" s="1"/>
  <c r="O490" i="2" s="1"/>
  <c r="O489" i="2" s="1"/>
  <c r="O488" i="2" s="1"/>
  <c r="K1244" i="2"/>
  <c r="K1243" i="2" s="1"/>
  <c r="J1516" i="2"/>
  <c r="P1723" i="2"/>
  <c r="P1722" i="2" s="1"/>
  <c r="L1455" i="2"/>
  <c r="R1468" i="2"/>
  <c r="M1536" i="2"/>
  <c r="Q1701" i="2"/>
  <c r="Q1700" i="2" s="1"/>
  <c r="P1701" i="2"/>
  <c r="P1700" i="2" s="1"/>
  <c r="J1906" i="2"/>
  <c r="J1899" i="2" s="1"/>
  <c r="M1917" i="2"/>
  <c r="I2366" i="2"/>
  <c r="T2366" i="2" s="1"/>
  <c r="R2440" i="2"/>
  <c r="R2439" i="2" s="1"/>
  <c r="R2434" i="2" s="1"/>
  <c r="R1526" i="2"/>
  <c r="R1636" i="2"/>
  <c r="R1635" i="2" s="1"/>
  <c r="L1873" i="2"/>
  <c r="L1872" i="2" s="1"/>
  <c r="L1871" i="2" s="1"/>
  <c r="L1870" i="2" s="1"/>
  <c r="L1917" i="2"/>
  <c r="J2091" i="2"/>
  <c r="J2090" i="2" s="1"/>
  <c r="J2089" i="2" s="1"/>
  <c r="J2088" i="2" s="1"/>
  <c r="K2238" i="2"/>
  <c r="K2237" i="2" s="1"/>
  <c r="K2236" i="2" s="1"/>
  <c r="K2227" i="2" s="1"/>
  <c r="M2423" i="2"/>
  <c r="M2422" i="2" s="1"/>
  <c r="M2421" i="2" s="1"/>
  <c r="J2477" i="2"/>
  <c r="J2476" i="2" s="1"/>
  <c r="J2468" i="2" s="1"/>
  <c r="Q1455" i="2"/>
  <c r="J1481" i="2"/>
  <c r="R1491" i="2"/>
  <c r="M1662" i="2"/>
  <c r="M1661" i="2" s="1"/>
  <c r="O1748" i="2"/>
  <c r="O1747" i="2" s="1"/>
  <c r="P2249" i="2"/>
  <c r="P2248" i="2" s="1"/>
  <c r="P2247" i="2" s="1"/>
  <c r="R2408" i="2"/>
  <c r="P2573" i="2"/>
  <c r="P2572" i="2" s="1"/>
  <c r="P2571" i="2" s="1"/>
  <c r="P2570" i="2" s="1"/>
  <c r="Q256" i="2"/>
  <c r="Q255" i="2" s="1"/>
  <c r="Q254" i="2" s="1"/>
  <c r="Q253" i="2" s="1"/>
  <c r="P320" i="2"/>
  <c r="P319" i="2" s="1"/>
  <c r="P318" i="2" s="1"/>
  <c r="P317" i="2" s="1"/>
  <c r="Q1244" i="2"/>
  <c r="M134" i="2"/>
  <c r="M133" i="2" s="1"/>
  <c r="M132" i="2" s="1"/>
  <c r="M131" i="2" s="1"/>
  <c r="K134" i="2"/>
  <c r="K133" i="2" s="1"/>
  <c r="K132" i="2" s="1"/>
  <c r="K131" i="2" s="1"/>
  <c r="R134" i="2"/>
  <c r="R133" i="2" s="1"/>
  <c r="R132" i="2" s="1"/>
  <c r="R131" i="2" s="1"/>
  <c r="R169" i="2"/>
  <c r="R168" i="2" s="1"/>
  <c r="R167" i="2" s="1"/>
  <c r="M199" i="2"/>
  <c r="M198" i="2" s="1"/>
  <c r="J199" i="2"/>
  <c r="J198" i="2" s="1"/>
  <c r="Q206" i="2"/>
  <c r="Q199" i="2" s="1"/>
  <c r="Q198" i="2" s="1"/>
  <c r="K220" i="2"/>
  <c r="K219" i="2" s="1"/>
  <c r="R220" i="2"/>
  <c r="R219" i="2" s="1"/>
  <c r="P236" i="2"/>
  <c r="P235" i="2" s="1"/>
  <c r="P234" i="2" s="1"/>
  <c r="P233" i="2" s="1"/>
  <c r="K256" i="2"/>
  <c r="K255" i="2" s="1"/>
  <c r="K254" i="2" s="1"/>
  <c r="K253" i="2" s="1"/>
  <c r="R256" i="2"/>
  <c r="R255" i="2" s="1"/>
  <c r="R254" i="2" s="1"/>
  <c r="R253" i="2" s="1"/>
  <c r="R278" i="2"/>
  <c r="R277" i="2" s="1"/>
  <c r="R276" i="2" s="1"/>
  <c r="R275" i="2" s="1"/>
  <c r="P278" i="2"/>
  <c r="P277" i="2" s="1"/>
  <c r="P276" i="2" s="1"/>
  <c r="P275" i="2" s="1"/>
  <c r="P342" i="2"/>
  <c r="P341" i="2" s="1"/>
  <c r="P367" i="2"/>
  <c r="P362" i="2" s="1"/>
  <c r="P361" i="2" s="1"/>
  <c r="P360" i="2" s="1"/>
  <c r="P359" i="2" s="1"/>
  <c r="O388" i="2"/>
  <c r="O382" i="2" s="1"/>
  <c r="O381" i="2" s="1"/>
  <c r="Q444" i="2"/>
  <c r="Q429" i="2" s="1"/>
  <c r="Q428" i="2" s="1"/>
  <c r="Q427" i="2" s="1"/>
  <c r="Q426" i="2" s="1"/>
  <c r="L1091" i="2"/>
  <c r="R1117" i="2"/>
  <c r="M1593" i="2"/>
  <c r="P1593" i="2"/>
  <c r="L476" i="2"/>
  <c r="L475" i="2" s="1"/>
  <c r="J1244" i="2"/>
  <c r="J1243" i="2" s="1"/>
  <c r="M13" i="2"/>
  <c r="M12" i="2" s="1"/>
  <c r="M11" i="2" s="1"/>
  <c r="M10" i="2" s="1"/>
  <c r="P36" i="2"/>
  <c r="P35" i="2" s="1"/>
  <c r="P9" i="2" s="1"/>
  <c r="L87" i="2"/>
  <c r="L86" i="2" s="1"/>
  <c r="L85" i="2" s="1"/>
  <c r="L84" i="2" s="1"/>
  <c r="R87" i="2"/>
  <c r="R86" i="2" s="1"/>
  <c r="R85" i="2" s="1"/>
  <c r="R84" i="2" s="1"/>
  <c r="R83" i="2" s="1"/>
  <c r="R82" i="2" s="1"/>
  <c r="R81" i="2" s="1"/>
  <c r="L125" i="2"/>
  <c r="L124" i="2" s="1"/>
  <c r="L123" i="2" s="1"/>
  <c r="O220" i="2"/>
  <c r="O219" i="2" s="1"/>
  <c r="J236" i="2"/>
  <c r="J235" i="2" s="1"/>
  <c r="J234" i="2" s="1"/>
  <c r="J233" i="2" s="1"/>
  <c r="L256" i="2"/>
  <c r="L255" i="2" s="1"/>
  <c r="L254" i="2" s="1"/>
  <c r="L253" i="2" s="1"/>
  <c r="K388" i="2"/>
  <c r="K382" i="2" s="1"/>
  <c r="K381" i="2" s="1"/>
  <c r="R429" i="2"/>
  <c r="R428" i="2" s="1"/>
  <c r="R427" i="2" s="1"/>
  <c r="R426" i="2" s="1"/>
  <c r="L452" i="2"/>
  <c r="L451" i="2" s="1"/>
  <c r="R452" i="2"/>
  <c r="R451" i="2" s="1"/>
  <c r="M584" i="2"/>
  <c r="M583" i="2" s="1"/>
  <c r="M561" i="2" s="1"/>
  <c r="O599" i="2"/>
  <c r="O598" i="2" s="1"/>
  <c r="O597" i="2" s="1"/>
  <c r="O596" i="2" s="1"/>
  <c r="O595" i="2" s="1"/>
  <c r="K850" i="2"/>
  <c r="K828" i="2" s="1"/>
  <c r="Q1117" i="2"/>
  <c r="P1117" i="2"/>
  <c r="P1536" i="2"/>
  <c r="M1654" i="2"/>
  <c r="M1653" i="2" s="1"/>
  <c r="R53" i="2"/>
  <c r="R45" i="2" s="1"/>
  <c r="R44" i="2" s="1"/>
  <c r="R43" i="2" s="1"/>
  <c r="R42" i="2" s="1"/>
  <c r="O476" i="2"/>
  <c r="O475" i="2" s="1"/>
  <c r="K36" i="2"/>
  <c r="K35" i="2" s="1"/>
  <c r="K9" i="2" s="1"/>
  <c r="Q53" i="2"/>
  <c r="Q45" i="2" s="1"/>
  <c r="Q44" i="2" s="1"/>
  <c r="Q43" i="2" s="1"/>
  <c r="Q42" i="2" s="1"/>
  <c r="M63" i="2"/>
  <c r="M62" i="2" s="1"/>
  <c r="M61" i="2" s="1"/>
  <c r="M60" i="2" s="1"/>
  <c r="P71" i="2"/>
  <c r="P63" i="2" s="1"/>
  <c r="P62" i="2" s="1"/>
  <c r="P61" i="2" s="1"/>
  <c r="P60" i="2" s="1"/>
  <c r="I164" i="2"/>
  <c r="K169" i="2"/>
  <c r="K168" i="2" s="1"/>
  <c r="K167" i="2" s="1"/>
  <c r="N298" i="2"/>
  <c r="L362" i="2"/>
  <c r="L361" i="2" s="1"/>
  <c r="L360" i="2" s="1"/>
  <c r="L359" i="2" s="1"/>
  <c r="O452" i="2"/>
  <c r="O451" i="2" s="1"/>
  <c r="R476" i="2"/>
  <c r="R475" i="2" s="1"/>
  <c r="L491" i="2"/>
  <c r="L490" i="2" s="1"/>
  <c r="L489" i="2" s="1"/>
  <c r="L488" i="2" s="1"/>
  <c r="K793" i="2"/>
  <c r="K792" i="2" s="1"/>
  <c r="K1117" i="2"/>
  <c r="K1116" i="2" s="1"/>
  <c r="Q1344" i="2"/>
  <c r="Q1343" i="2" s="1"/>
  <c r="L1468" i="2"/>
  <c r="M1481" i="2"/>
  <c r="P1481" i="2"/>
  <c r="L1491" i="2"/>
  <c r="O1491" i="2"/>
  <c r="O1536" i="2"/>
  <c r="J1636" i="2"/>
  <c r="J1635" i="2" s="1"/>
  <c r="M1681" i="2"/>
  <c r="M1680" i="2" s="1"/>
  <c r="K2177" i="2"/>
  <c r="K2176" i="2" s="1"/>
  <c r="P2408" i="2"/>
  <c r="M1468" i="2"/>
  <c r="L1526" i="2"/>
  <c r="R1536" i="2"/>
  <c r="Q1547" i="2"/>
  <c r="P1893" i="2"/>
  <c r="P1892" i="2" s="1"/>
  <c r="P1891" i="2" s="1"/>
  <c r="L1919" i="2"/>
  <c r="L1918" i="2" s="1"/>
  <c r="O1468" i="2"/>
  <c r="L1481" i="2"/>
  <c r="K1491" i="2"/>
  <c r="J1536" i="2"/>
  <c r="Q1536" i="2"/>
  <c r="R1616" i="2"/>
  <c r="O1654" i="2"/>
  <c r="O1653" i="2" s="1"/>
  <c r="O1662" i="2"/>
  <c r="O1661" i="2" s="1"/>
  <c r="L1748" i="2"/>
  <c r="L1747" i="2" s="1"/>
  <c r="K1944" i="2"/>
  <c r="K1943" i="2" s="1"/>
  <c r="M1989" i="2"/>
  <c r="M1988" i="2" s="1"/>
  <c r="M1987" i="2" s="1"/>
  <c r="J2276" i="2"/>
  <c r="Q2276" i="2"/>
  <c r="J1654" i="2"/>
  <c r="J1653" i="2" s="1"/>
  <c r="Q1654" i="2"/>
  <c r="Q1653" i="2" s="1"/>
  <c r="I1661" i="2"/>
  <c r="M1748" i="2"/>
  <c r="M1747" i="2" s="1"/>
  <c r="P1794" i="2"/>
  <c r="K1794" i="2"/>
  <c r="N1891" i="2"/>
  <c r="O1944" i="2"/>
  <c r="O1943" i="2" s="1"/>
  <c r="L2052" i="2"/>
  <c r="L2051" i="2" s="1"/>
  <c r="L2050" i="2" s="1"/>
  <c r="L2049" i="2" s="1"/>
  <c r="Q2052" i="2"/>
  <c r="Q2051" i="2" s="1"/>
  <c r="Q2050" i="2" s="1"/>
  <c r="Q2049" i="2" s="1"/>
  <c r="L2238" i="2"/>
  <c r="L2237" i="2" s="1"/>
  <c r="L2236" i="2" s="1"/>
  <c r="L2227" i="2" s="1"/>
  <c r="O2238" i="2"/>
  <c r="O2237" i="2" s="1"/>
  <c r="O2236" i="2" s="1"/>
  <c r="O2227" i="2" s="1"/>
  <c r="M2289" i="2"/>
  <c r="M2288" i="2" s="1"/>
  <c r="P2293" i="2"/>
  <c r="P1603" i="2"/>
  <c r="Q1662" i="2"/>
  <c r="Q1661" i="2" s="1"/>
  <c r="O1681" i="2"/>
  <c r="O1680" i="2" s="1"/>
  <c r="L1701" i="2"/>
  <c r="L1700" i="2" s="1"/>
  <c r="J1723" i="2"/>
  <c r="J1722" i="2" s="1"/>
  <c r="Q1748" i="2"/>
  <c r="Q1747" i="2" s="1"/>
  <c r="O1893" i="2"/>
  <c r="O1892" i="2" s="1"/>
  <c r="O1891" i="2" s="1"/>
  <c r="L1900" i="2"/>
  <c r="R2080" i="2"/>
  <c r="R2079" i="2" s="1"/>
  <c r="R2078" i="2" s="1"/>
  <c r="R2077" i="2" s="1"/>
  <c r="L2177" i="2"/>
  <c r="L2176" i="2" s="1"/>
  <c r="J2423" i="2"/>
  <c r="J2422" i="2" s="1"/>
  <c r="J2421" i="2" s="1"/>
  <c r="M2440" i="2"/>
  <c r="M2439" i="2" s="1"/>
  <c r="M2434" i="2" s="1"/>
  <c r="P2440" i="2"/>
  <c r="P2439" i="2" s="1"/>
  <c r="P2434" i="2" s="1"/>
  <c r="K2512" i="2"/>
  <c r="K2511" i="2" s="1"/>
  <c r="K2510" i="2" s="1"/>
  <c r="K2509" i="2" s="1"/>
  <c r="J2408" i="2"/>
  <c r="O2436" i="2"/>
  <c r="O2435" i="2" s="1"/>
  <c r="J2440" i="2"/>
  <c r="J2439" i="2" s="1"/>
  <c r="J2434" i="2" s="1"/>
  <c r="O2477" i="2"/>
  <c r="O2476" i="2" s="1"/>
  <c r="O2468" i="2" s="1"/>
  <c r="K2564" i="2"/>
  <c r="K2563" i="2" s="1"/>
  <c r="K2562" i="2" s="1"/>
  <c r="M1944" i="2"/>
  <c r="M1943" i="2" s="1"/>
  <c r="Q2238" i="2"/>
  <c r="Q2237" i="2" s="1"/>
  <c r="Q2236" i="2" s="1"/>
  <c r="Q2227" i="2" s="1"/>
  <c r="K2289" i="2"/>
  <c r="K2288" i="2" s="1"/>
  <c r="L2293" i="2"/>
  <c r="R2293" i="2"/>
  <c r="R2454" i="2"/>
  <c r="O2454" i="2"/>
  <c r="P2512" i="2"/>
  <c r="P2511" i="2" s="1"/>
  <c r="P2510" i="2" s="1"/>
  <c r="P2509" i="2" s="1"/>
  <c r="K2573" i="2"/>
  <c r="K2572" i="2" s="1"/>
  <c r="K2571" i="2" s="1"/>
  <c r="R2573" i="2"/>
  <c r="R2572" i="2" s="1"/>
  <c r="R2571" i="2" s="1"/>
  <c r="R2570" i="2" s="1"/>
  <c r="R2477" i="2"/>
  <c r="R2476" i="2" s="1"/>
  <c r="Q2512" i="2"/>
  <c r="Q2511" i="2" s="1"/>
  <c r="Q2510" i="2" s="1"/>
  <c r="Q2509" i="2" s="1"/>
  <c r="P2564" i="2"/>
  <c r="P2563" i="2" s="1"/>
  <c r="P2562" i="2" s="1"/>
  <c r="N26" i="2"/>
  <c r="N30" i="2"/>
  <c r="Q71" i="2"/>
  <c r="Q63" i="2" s="1"/>
  <c r="Q62" i="2" s="1"/>
  <c r="Q61" i="2" s="1"/>
  <c r="Q60" i="2" s="1"/>
  <c r="J125" i="2"/>
  <c r="J124" i="2" s="1"/>
  <c r="J123" i="2" s="1"/>
  <c r="P134" i="2"/>
  <c r="P133" i="2" s="1"/>
  <c r="P132" i="2" s="1"/>
  <c r="P131" i="2" s="1"/>
  <c r="N158" i="2"/>
  <c r="L220" i="2"/>
  <c r="L219" i="2" s="1"/>
  <c r="I26" i="2"/>
  <c r="N31" i="2"/>
  <c r="K63" i="2"/>
  <c r="K62" i="2" s="1"/>
  <c r="K61" i="2" s="1"/>
  <c r="K60" i="2" s="1"/>
  <c r="P87" i="2"/>
  <c r="P86" i="2" s="1"/>
  <c r="P85" i="2" s="1"/>
  <c r="P84" i="2" s="1"/>
  <c r="P83" i="2" s="1"/>
  <c r="P82" i="2" s="1"/>
  <c r="P81" i="2" s="1"/>
  <c r="Q125" i="2"/>
  <c r="Q124" i="2" s="1"/>
  <c r="Q123" i="2" s="1"/>
  <c r="L134" i="2"/>
  <c r="L133" i="2" s="1"/>
  <c r="L132" i="2" s="1"/>
  <c r="L131" i="2" s="1"/>
  <c r="O134" i="2"/>
  <c r="O133" i="2" s="1"/>
  <c r="O132" i="2" s="1"/>
  <c r="O131" i="2" s="1"/>
  <c r="N134" i="2"/>
  <c r="N157" i="2"/>
  <c r="L169" i="2"/>
  <c r="L168" i="2" s="1"/>
  <c r="L167" i="2" s="1"/>
  <c r="O169" i="2"/>
  <c r="O168" i="2" s="1"/>
  <c r="O167" i="2" s="1"/>
  <c r="K199" i="2"/>
  <c r="K198" i="2" s="1"/>
  <c r="Q270" i="2"/>
  <c r="Q264" i="2" s="1"/>
  <c r="Q263" i="2" s="1"/>
  <c r="Q262" i="2" s="1"/>
  <c r="Q261" i="2" s="1"/>
  <c r="M278" i="2"/>
  <c r="M277" i="2" s="1"/>
  <c r="M276" i="2" s="1"/>
  <c r="M275" i="2" s="1"/>
  <c r="K320" i="2"/>
  <c r="K319" i="2" s="1"/>
  <c r="K318" i="2" s="1"/>
  <c r="K317" i="2" s="1"/>
  <c r="R320" i="2"/>
  <c r="R319" i="2" s="1"/>
  <c r="R318" i="2" s="1"/>
  <c r="R317" i="2" s="1"/>
  <c r="Q36" i="2"/>
  <c r="Q35" i="2" s="1"/>
  <c r="Q9" i="2" s="1"/>
  <c r="J45" i="2"/>
  <c r="J44" i="2" s="1"/>
  <c r="J43" i="2" s="1"/>
  <c r="J42" i="2" s="1"/>
  <c r="P53" i="2"/>
  <c r="P45" i="2" s="1"/>
  <c r="P44" i="2" s="1"/>
  <c r="P43" i="2" s="1"/>
  <c r="P42" i="2" s="1"/>
  <c r="O71" i="2"/>
  <c r="O63" i="2" s="1"/>
  <c r="O62" i="2" s="1"/>
  <c r="O61" i="2" s="1"/>
  <c r="O60" i="2" s="1"/>
  <c r="K125" i="2"/>
  <c r="K124" i="2" s="1"/>
  <c r="K123" i="2" s="1"/>
  <c r="N125" i="2"/>
  <c r="M169" i="2"/>
  <c r="M168" i="2" s="1"/>
  <c r="M167" i="2" s="1"/>
  <c r="P169" i="2"/>
  <c r="P168" i="2" s="1"/>
  <c r="P167" i="2" s="1"/>
  <c r="K264" i="2"/>
  <c r="K263" i="2" s="1"/>
  <c r="K262" i="2" s="1"/>
  <c r="K261" i="2" s="1"/>
  <c r="N270" i="2"/>
  <c r="T270" i="2" s="1"/>
  <c r="P125" i="2"/>
  <c r="P124" i="2" s="1"/>
  <c r="P123" i="2" s="1"/>
  <c r="J169" i="2"/>
  <c r="J168" i="2" s="1"/>
  <c r="J167" i="2" s="1"/>
  <c r="Q169" i="2"/>
  <c r="Q168" i="2" s="1"/>
  <c r="Q167" i="2" s="1"/>
  <c r="P181" i="2"/>
  <c r="P180" i="2" s="1"/>
  <c r="P179" i="2" s="1"/>
  <c r="L181" i="2"/>
  <c r="L180" i="2" s="1"/>
  <c r="L179" i="2" s="1"/>
  <c r="P206" i="2"/>
  <c r="P199" i="2" s="1"/>
  <c r="P198" i="2" s="1"/>
  <c r="O236" i="2"/>
  <c r="O235" i="2" s="1"/>
  <c r="O234" i="2" s="1"/>
  <c r="O233" i="2" s="1"/>
  <c r="K236" i="2"/>
  <c r="K235" i="2" s="1"/>
  <c r="K234" i="2" s="1"/>
  <c r="K233" i="2" s="1"/>
  <c r="L306" i="2"/>
  <c r="L305" i="2" s="1"/>
  <c r="L304" i="2" s="1"/>
  <c r="L303" i="2" s="1"/>
  <c r="O306" i="2"/>
  <c r="O305" i="2" s="1"/>
  <c r="O304" i="2" s="1"/>
  <c r="O303" i="2" s="1"/>
  <c r="O320" i="2"/>
  <c r="O319" i="2" s="1"/>
  <c r="O318" i="2" s="1"/>
  <c r="O317" i="2" s="1"/>
  <c r="J342" i="2"/>
  <c r="J341" i="2" s="1"/>
  <c r="M347" i="2"/>
  <c r="M362" i="2"/>
  <c r="M361" i="2" s="1"/>
  <c r="M360" i="2" s="1"/>
  <c r="M359" i="2" s="1"/>
  <c r="J452" i="2"/>
  <c r="J451" i="2" s="1"/>
  <c r="P452" i="2"/>
  <c r="P451" i="2" s="1"/>
  <c r="K476" i="2"/>
  <c r="K475" i="2" s="1"/>
  <c r="J506" i="2"/>
  <c r="J505" i="2" s="1"/>
  <c r="J504" i="2" s="1"/>
  <c r="P506" i="2"/>
  <c r="P505" i="2" s="1"/>
  <c r="P504" i="2" s="1"/>
  <c r="P584" i="2"/>
  <c r="P583" i="2" s="1"/>
  <c r="P561" i="2" s="1"/>
  <c r="M812" i="2"/>
  <c r="J850" i="2"/>
  <c r="K1063" i="2"/>
  <c r="M306" i="2"/>
  <c r="M305" i="2" s="1"/>
  <c r="M304" i="2" s="1"/>
  <c r="M303" i="2" s="1"/>
  <c r="R342" i="2"/>
  <c r="R341" i="2" s="1"/>
  <c r="R347" i="2"/>
  <c r="Q347" i="2"/>
  <c r="Q367" i="2"/>
  <c r="Q362" i="2" s="1"/>
  <c r="Q361" i="2" s="1"/>
  <c r="Q360" i="2" s="1"/>
  <c r="Q359" i="2" s="1"/>
  <c r="K429" i="2"/>
  <c r="K428" i="2" s="1"/>
  <c r="K427" i="2" s="1"/>
  <c r="K426" i="2" s="1"/>
  <c r="J429" i="2"/>
  <c r="J428" i="2" s="1"/>
  <c r="J427" i="2" s="1"/>
  <c r="J426" i="2" s="1"/>
  <c r="P444" i="2"/>
  <c r="P429" i="2" s="1"/>
  <c r="P428" i="2" s="1"/>
  <c r="P427" i="2" s="1"/>
  <c r="P426" i="2" s="1"/>
  <c r="Q476" i="2"/>
  <c r="Q475" i="2" s="1"/>
  <c r="J491" i="2"/>
  <c r="J490" i="2" s="1"/>
  <c r="J489" i="2" s="1"/>
  <c r="J488" i="2" s="1"/>
  <c r="P494" i="2"/>
  <c r="P491" i="2" s="1"/>
  <c r="P490" i="2" s="1"/>
  <c r="P489" i="2" s="1"/>
  <c r="P488" i="2" s="1"/>
  <c r="Q564" i="2"/>
  <c r="Q563" i="2" s="1"/>
  <c r="J564" i="2"/>
  <c r="J563" i="2" s="1"/>
  <c r="K598" i="2"/>
  <c r="K597" i="2" s="1"/>
  <c r="K596" i="2" s="1"/>
  <c r="K595" i="2" s="1"/>
  <c r="P599" i="2"/>
  <c r="P598" i="2" s="1"/>
  <c r="P597" i="2" s="1"/>
  <c r="P596" i="2" s="1"/>
  <c r="P595" i="2" s="1"/>
  <c r="J598" i="2"/>
  <c r="J597" i="2" s="1"/>
  <c r="J596" i="2" s="1"/>
  <c r="J595" i="2" s="1"/>
  <c r="K812" i="2"/>
  <c r="Q812" i="2"/>
  <c r="Q793" i="2" s="1"/>
  <c r="Q792" i="2" s="1"/>
  <c r="I828" i="2"/>
  <c r="T828" i="2" s="1"/>
  <c r="L342" i="2"/>
  <c r="L341" i="2" s="1"/>
  <c r="O342" i="2"/>
  <c r="O341" i="2" s="1"/>
  <c r="K362" i="2"/>
  <c r="K361" i="2" s="1"/>
  <c r="K360" i="2" s="1"/>
  <c r="K359" i="2" s="1"/>
  <c r="Q452" i="2"/>
  <c r="Q451" i="2" s="1"/>
  <c r="O506" i="2"/>
  <c r="O505" i="2" s="1"/>
  <c r="O504" i="2" s="1"/>
  <c r="R506" i="2"/>
  <c r="R505" i="2" s="1"/>
  <c r="R504" i="2" s="1"/>
  <c r="L584" i="2"/>
  <c r="L583" i="2" s="1"/>
  <c r="L561" i="2" s="1"/>
  <c r="R584" i="2"/>
  <c r="R583" i="2" s="1"/>
  <c r="R561" i="2" s="1"/>
  <c r="Q599" i="2"/>
  <c r="Q598" i="2" s="1"/>
  <c r="Q597" i="2" s="1"/>
  <c r="Q596" i="2" s="1"/>
  <c r="Q595" i="2" s="1"/>
  <c r="O347" i="2"/>
  <c r="O367" i="2"/>
  <c r="O362" i="2" s="1"/>
  <c r="O361" i="2" s="1"/>
  <c r="O360" i="2" s="1"/>
  <c r="O359" i="2" s="1"/>
  <c r="L429" i="2"/>
  <c r="L428" i="2" s="1"/>
  <c r="L427" i="2" s="1"/>
  <c r="L426" i="2" s="1"/>
  <c r="R491" i="2"/>
  <c r="R490" i="2" s="1"/>
  <c r="R489" i="2" s="1"/>
  <c r="R488" i="2" s="1"/>
  <c r="K506" i="2"/>
  <c r="K505" i="2" s="1"/>
  <c r="K504" i="2" s="1"/>
  <c r="Q506" i="2"/>
  <c r="Q505" i="2" s="1"/>
  <c r="Q504" i="2" s="1"/>
  <c r="O812" i="2"/>
  <c r="Q1091" i="2"/>
  <c r="M1455" i="2"/>
  <c r="J1491" i="2"/>
  <c r="O1117" i="2"/>
  <c r="O1244" i="2"/>
  <c r="R1344" i="2"/>
  <c r="R1343" i="2" s="1"/>
  <c r="I1392" i="2"/>
  <c r="T1392" i="2" s="1"/>
  <c r="J1455" i="2"/>
  <c r="L1063" i="2"/>
  <c r="R1091" i="2"/>
  <c r="L1117" i="2"/>
  <c r="L1116" i="2" s="1"/>
  <c r="P1244" i="2"/>
  <c r="K1344" i="2"/>
  <c r="K1343" i="2" s="1"/>
  <c r="M1516" i="2"/>
  <c r="O1516" i="2"/>
  <c r="P1148" i="2"/>
  <c r="P1147" i="2" s="1"/>
  <c r="I1410" i="2"/>
  <c r="T1410" i="2" s="1"/>
  <c r="O1455" i="2"/>
  <c r="M1491" i="2"/>
  <c r="K1593" i="2"/>
  <c r="R1593" i="2"/>
  <c r="O1636" i="2"/>
  <c r="O1635" i="2" s="1"/>
  <c r="J1681" i="2"/>
  <c r="J1680" i="2" s="1"/>
  <c r="K1526" i="2"/>
  <c r="Q1526" i="2"/>
  <c r="O1547" i="2"/>
  <c r="P1547" i="2"/>
  <c r="L1593" i="2"/>
  <c r="K1603" i="2"/>
  <c r="Q1603" i="2"/>
  <c r="M1636" i="2"/>
  <c r="M1635" i="2" s="1"/>
  <c r="P1636" i="2"/>
  <c r="P1635" i="2" s="1"/>
  <c r="K1681" i="2"/>
  <c r="K1680" i="2" s="1"/>
  <c r="O1701" i="2"/>
  <c r="O1700" i="2" s="1"/>
  <c r="J1547" i="2"/>
  <c r="L1616" i="2"/>
  <c r="Q1636" i="2"/>
  <c r="Q1635" i="2" s="1"/>
  <c r="L1681" i="2"/>
  <c r="L1680" i="2" s="1"/>
  <c r="M1701" i="2"/>
  <c r="M1700" i="2" s="1"/>
  <c r="M1723" i="2"/>
  <c r="M1722" i="2" s="1"/>
  <c r="R1516" i="2"/>
  <c r="K1536" i="2"/>
  <c r="K1547" i="2"/>
  <c r="L1603" i="2"/>
  <c r="R1603" i="2"/>
  <c r="O1603" i="2"/>
  <c r="M1616" i="2"/>
  <c r="O1616" i="2"/>
  <c r="P1654" i="2"/>
  <c r="P1653" i="2" s="1"/>
  <c r="K1654" i="2"/>
  <c r="K1653" i="2" s="1"/>
  <c r="J1662" i="2"/>
  <c r="J1661" i="2" s="1"/>
  <c r="P1662" i="2"/>
  <c r="P1661" i="2" s="1"/>
  <c r="P1681" i="2"/>
  <c r="P1680" i="2" s="1"/>
  <c r="J1701" i="2"/>
  <c r="J1700" i="2" s="1"/>
  <c r="J1748" i="2"/>
  <c r="J1747" i="2" s="1"/>
  <c r="P1873" i="2"/>
  <c r="P1872" i="2" s="1"/>
  <c r="P1871" i="2" s="1"/>
  <c r="P1870" i="2" s="1"/>
  <c r="M1893" i="2"/>
  <c r="M1892" i="2" s="1"/>
  <c r="M1891" i="2" s="1"/>
  <c r="R2272" i="2"/>
  <c r="O1723" i="2"/>
  <c r="O1722" i="2" s="1"/>
  <c r="R1748" i="2"/>
  <c r="R1747" i="2" s="1"/>
  <c r="Q1794" i="2"/>
  <c r="R1893" i="2"/>
  <c r="R1892" i="2" s="1"/>
  <c r="R1891" i="2" s="1"/>
  <c r="J1893" i="2"/>
  <c r="J1892" i="2" s="1"/>
  <c r="J1891" i="2" s="1"/>
  <c r="M1906" i="2"/>
  <c r="P1900" i="2"/>
  <c r="K1893" i="2"/>
  <c r="K1892" i="2" s="1"/>
  <c r="K1891" i="2" s="1"/>
  <c r="M1919" i="2"/>
  <c r="M1918" i="2" s="1"/>
  <c r="R1944" i="2"/>
  <c r="R1943" i="2" s="1"/>
  <c r="O1794" i="2"/>
  <c r="N1865" i="2"/>
  <c r="K1906" i="2"/>
  <c r="L1989" i="2"/>
  <c r="L1988" i="2" s="1"/>
  <c r="L1987" i="2" s="1"/>
  <c r="R1990" i="2"/>
  <c r="Q1944" i="2"/>
  <c r="Q1943" i="2" s="1"/>
  <c r="P2108" i="2"/>
  <c r="P2107" i="2" s="1"/>
  <c r="M2293" i="2"/>
  <c r="O2573" i="2"/>
  <c r="O2572" i="2" s="1"/>
  <c r="O2571" i="2" s="1"/>
  <c r="O2570" i="2" s="1"/>
  <c r="Q2100" i="2"/>
  <c r="Q2091" i="2" s="1"/>
  <c r="Q2090" i="2" s="1"/>
  <c r="Q2089" i="2" s="1"/>
  <c r="Q2088" i="2" s="1"/>
  <c r="K2197" i="2"/>
  <c r="K2196" i="2" s="1"/>
  <c r="K2174" i="2" s="1"/>
  <c r="Q2197" i="2"/>
  <c r="Q2196" i="2" s="1"/>
  <c r="Q2174" i="2" s="1"/>
  <c r="M2238" i="2"/>
  <c r="M2237" i="2" s="1"/>
  <c r="M2236" i="2" s="1"/>
  <c r="M2227" i="2" s="1"/>
  <c r="P2238" i="2"/>
  <c r="P2237" i="2" s="1"/>
  <c r="P2236" i="2" s="1"/>
  <c r="P2227" i="2" s="1"/>
  <c r="L2272" i="2"/>
  <c r="K2276" i="2"/>
  <c r="J2293" i="2"/>
  <c r="P2423" i="2"/>
  <c r="P2422" i="2" s="1"/>
  <c r="P2421" i="2" s="1"/>
  <c r="L2573" i="2"/>
  <c r="L2572" i="2" s="1"/>
  <c r="L2571" i="2" s="1"/>
  <c r="R2091" i="2"/>
  <c r="R2090" i="2" s="1"/>
  <c r="R2089" i="2" s="1"/>
  <c r="R2088" i="2" s="1"/>
  <c r="Q2177" i="2"/>
  <c r="Q2176" i="2" s="1"/>
  <c r="J2197" i="2"/>
  <c r="J2196" i="2" s="1"/>
  <c r="J2174" i="2" s="1"/>
  <c r="J2238" i="2"/>
  <c r="J2237" i="2" s="1"/>
  <c r="J2236" i="2" s="1"/>
  <c r="J2227" i="2" s="1"/>
  <c r="M2272" i="2"/>
  <c r="P2454" i="2"/>
  <c r="J2177" i="2"/>
  <c r="J2176" i="2" s="1"/>
  <c r="R2177" i="2"/>
  <c r="R2176" i="2" s="1"/>
  <c r="R2249" i="2"/>
  <c r="R2248" i="2" s="1"/>
  <c r="R2247" i="2" s="1"/>
  <c r="R2246" i="2" s="1"/>
  <c r="P2436" i="2"/>
  <c r="P2435" i="2" s="1"/>
  <c r="M2477" i="2"/>
  <c r="M2476" i="2" s="1"/>
  <c r="M2468" i="2" s="1"/>
  <c r="P2477" i="2"/>
  <c r="P2476" i="2" s="1"/>
  <c r="P2468" i="2" s="1"/>
  <c r="L2512" i="2"/>
  <c r="L2511" i="2" s="1"/>
  <c r="L2510" i="2" s="1"/>
  <c r="L2509" i="2" s="1"/>
  <c r="R2512" i="2"/>
  <c r="R2511" i="2" s="1"/>
  <c r="R2510" i="2" s="1"/>
  <c r="R2509" i="2" s="1"/>
  <c r="M2573" i="2"/>
  <c r="M2572" i="2" s="1"/>
  <c r="M2571" i="2" s="1"/>
  <c r="K2408" i="2"/>
  <c r="R2423" i="2"/>
  <c r="R2422" i="2" s="1"/>
  <c r="R2421" i="2" s="1"/>
  <c r="K2423" i="2"/>
  <c r="K2422" i="2" s="1"/>
  <c r="K2421" i="2" s="1"/>
  <c r="J2436" i="2"/>
  <c r="J2435" i="2" s="1"/>
  <c r="L2477" i="2"/>
  <c r="L2476" i="2" s="1"/>
  <c r="L2468" i="2" s="1"/>
  <c r="J2512" i="2"/>
  <c r="J2511" i="2" s="1"/>
  <c r="J2510" i="2" s="1"/>
  <c r="J2509" i="2" s="1"/>
  <c r="O2512" i="2"/>
  <c r="O2511" i="2" s="1"/>
  <c r="O2510" i="2" s="1"/>
  <c r="O2509" i="2" s="1"/>
  <c r="Q2440" i="2"/>
  <c r="Q2439" i="2" s="1"/>
  <c r="Q2434" i="2" s="1"/>
  <c r="O2440" i="2"/>
  <c r="O2439" i="2" s="1"/>
  <c r="O2434" i="2" s="1"/>
  <c r="I2519" i="2"/>
  <c r="T2519" i="2" s="1"/>
  <c r="N98" i="2"/>
  <c r="I105" i="2"/>
  <c r="N21" i="2"/>
  <c r="I298" i="2"/>
  <c r="L564" i="2"/>
  <c r="L563" i="2" s="1"/>
  <c r="J278" i="2"/>
  <c r="J277" i="2" s="1"/>
  <c r="J276" i="2" s="1"/>
  <c r="J275" i="2" s="1"/>
  <c r="I31" i="2"/>
  <c r="R36" i="2"/>
  <c r="R35" i="2" s="1"/>
  <c r="R9" i="2" s="1"/>
  <c r="I192" i="2"/>
  <c r="J306" i="2"/>
  <c r="J305" i="2" s="1"/>
  <c r="J304" i="2" s="1"/>
  <c r="J303" i="2" s="1"/>
  <c r="M320" i="2"/>
  <c r="M319" i="2" s="1"/>
  <c r="M318" i="2" s="1"/>
  <c r="M317" i="2" s="1"/>
  <c r="Q342" i="2"/>
  <c r="Q341" i="2" s="1"/>
  <c r="K452" i="2"/>
  <c r="K451" i="2" s="1"/>
  <c r="L36" i="2"/>
  <c r="L35" i="2" s="1"/>
  <c r="L9" i="2" s="1"/>
  <c r="M125" i="2"/>
  <c r="M124" i="2" s="1"/>
  <c r="M123" i="2" s="1"/>
  <c r="O125" i="2"/>
  <c r="O124" i="2" s="1"/>
  <c r="O123" i="2" s="1"/>
  <c r="P306" i="2"/>
  <c r="P305" i="2" s="1"/>
  <c r="P304" i="2" s="1"/>
  <c r="P303" i="2" s="1"/>
  <c r="L506" i="2"/>
  <c r="L505" i="2" s="1"/>
  <c r="L504" i="2" s="1"/>
  <c r="O270" i="2"/>
  <c r="O264" i="2" s="1"/>
  <c r="O263" i="2" s="1"/>
  <c r="O262" i="2" s="1"/>
  <c r="O261" i="2" s="1"/>
  <c r="K278" i="2"/>
  <c r="K277" i="2" s="1"/>
  <c r="K276" i="2" s="1"/>
  <c r="K275" i="2" s="1"/>
  <c r="Q278" i="2"/>
  <c r="Q277" i="2" s="1"/>
  <c r="Q276" i="2" s="1"/>
  <c r="Q275" i="2" s="1"/>
  <c r="M506" i="2"/>
  <c r="M505" i="2" s="1"/>
  <c r="M504" i="2" s="1"/>
  <c r="K564" i="2"/>
  <c r="K563" i="2" s="1"/>
  <c r="K562" i="2" s="1"/>
  <c r="M564" i="2"/>
  <c r="M563" i="2" s="1"/>
  <c r="L236" i="2"/>
  <c r="L235" i="2" s="1"/>
  <c r="L234" i="2" s="1"/>
  <c r="L233" i="2" s="1"/>
  <c r="R236" i="2"/>
  <c r="R235" i="2" s="1"/>
  <c r="R234" i="2" s="1"/>
  <c r="R233" i="2" s="1"/>
  <c r="R564" i="2"/>
  <c r="R563" i="2" s="1"/>
  <c r="L598" i="2"/>
  <c r="L597" i="2" s="1"/>
  <c r="L596" i="2" s="1"/>
  <c r="L595" i="2" s="1"/>
  <c r="R599" i="2"/>
  <c r="R598" i="2" s="1"/>
  <c r="R597" i="2" s="1"/>
  <c r="R596" i="2" s="1"/>
  <c r="R595" i="2" s="1"/>
  <c r="M1063" i="2"/>
  <c r="J1063" i="2"/>
  <c r="K1468" i="2"/>
  <c r="P1748" i="2"/>
  <c r="P1747" i="2" s="1"/>
  <c r="L1244" i="2"/>
  <c r="L1243" i="2" s="1"/>
  <c r="R1244" i="2"/>
  <c r="K1091" i="2"/>
  <c r="J1344" i="2"/>
  <c r="J1343" i="2" s="1"/>
  <c r="M1344" i="2"/>
  <c r="M1343" i="2" s="1"/>
  <c r="O1344" i="2"/>
  <c r="O1343" i="2" s="1"/>
  <c r="I1437" i="2"/>
  <c r="T1437" i="2" s="1"/>
  <c r="J1468" i="2"/>
  <c r="Q1468" i="2"/>
  <c r="L1662" i="2"/>
  <c r="L1661" i="2" s="1"/>
  <c r="O1091" i="2"/>
  <c r="O1089" i="2" s="1"/>
  <c r="O1086" i="2" s="1"/>
  <c r="O1074" i="2" s="1"/>
  <c r="O1073" i="2" s="1"/>
  <c r="I1401" i="2"/>
  <c r="T1401" i="2" s="1"/>
  <c r="I1428" i="2"/>
  <c r="T1428" i="2" s="1"/>
  <c r="I1446" i="2"/>
  <c r="T1446" i="2" s="1"/>
  <c r="P1526" i="2"/>
  <c r="Q1616" i="2"/>
  <c r="L1148" i="2"/>
  <c r="L1147" i="2" s="1"/>
  <c r="R1148" i="2"/>
  <c r="R1147" i="2" s="1"/>
  <c r="O1481" i="2"/>
  <c r="P1491" i="2"/>
  <c r="K1616" i="2"/>
  <c r="L1654" i="2"/>
  <c r="L1653" i="2" s="1"/>
  <c r="Q1681" i="2"/>
  <c r="Q1680" i="2" s="1"/>
  <c r="N1864" i="2"/>
  <c r="K1919" i="2"/>
  <c r="K1918" i="2" s="1"/>
  <c r="J1873" i="2"/>
  <c r="J1872" i="2" s="1"/>
  <c r="J1871" i="2" s="1"/>
  <c r="J1870" i="2" s="1"/>
  <c r="Q1873" i="2"/>
  <c r="Q1872" i="2" s="1"/>
  <c r="Q1871" i="2" s="1"/>
  <c r="Q1870" i="2" s="1"/>
  <c r="I1975" i="2"/>
  <c r="T1975" i="2" s="1"/>
  <c r="I1974" i="2"/>
  <c r="T1974" i="2" s="1"/>
  <c r="I1977" i="2"/>
  <c r="T1977" i="2" s="1"/>
  <c r="L1723" i="2"/>
  <c r="L1722" i="2" s="1"/>
  <c r="R1723" i="2"/>
  <c r="R1722" i="2" s="1"/>
  <c r="M2093" i="2"/>
  <c r="L2091" i="2"/>
  <c r="L2090" i="2" s="1"/>
  <c r="L2089" i="2" s="1"/>
  <c r="L2088" i="2" s="1"/>
  <c r="I2229" i="2"/>
  <c r="N2274" i="2"/>
  <c r="N2273" i="2"/>
  <c r="K1873" i="2"/>
  <c r="K1872" i="2" s="1"/>
  <c r="K1871" i="2" s="1"/>
  <c r="K1870" i="2" s="1"/>
  <c r="L1893" i="2"/>
  <c r="L1892" i="2" s="1"/>
  <c r="L1891" i="2" s="1"/>
  <c r="I2079" i="2"/>
  <c r="O2091" i="2"/>
  <c r="O2090" i="2" s="1"/>
  <c r="O2089" i="2" s="1"/>
  <c r="O2088" i="2" s="1"/>
  <c r="I2410" i="2"/>
  <c r="T2410" i="2" s="1"/>
  <c r="I2409" i="2"/>
  <c r="T2409" i="2" s="1"/>
  <c r="J1919" i="2"/>
  <c r="J1918" i="2" s="1"/>
  <c r="K2052" i="2"/>
  <c r="K2051" i="2" s="1"/>
  <c r="K2050" i="2" s="1"/>
  <c r="K2049" i="2" s="1"/>
  <c r="O2197" i="2"/>
  <c r="O2196" i="2" s="1"/>
  <c r="O2174" i="2" s="1"/>
  <c r="J1944" i="2"/>
  <c r="J1943" i="2" s="1"/>
  <c r="P1944" i="2"/>
  <c r="P1943" i="2" s="1"/>
  <c r="K2091" i="2"/>
  <c r="K2090" i="2" s="1"/>
  <c r="K2089" i="2" s="1"/>
  <c r="K2088" i="2" s="1"/>
  <c r="N2091" i="2"/>
  <c r="O2177" i="2"/>
  <c r="O2176" i="2" s="1"/>
  <c r="L2249" i="2"/>
  <c r="L2248" i="2" s="1"/>
  <c r="L2247" i="2" s="1"/>
  <c r="L2246" i="2" s="1"/>
  <c r="Q2249" i="2"/>
  <c r="Q2248" i="2" s="1"/>
  <c r="Q2247" i="2" s="1"/>
  <c r="Q2246" i="2" s="1"/>
  <c r="O2272" i="2"/>
  <c r="O2408" i="2"/>
  <c r="Q1893" i="2"/>
  <c r="Q1892" i="2" s="1"/>
  <c r="Q1891" i="2" s="1"/>
  <c r="K1917" i="2"/>
  <c r="K1989" i="2"/>
  <c r="K1988" i="2" s="1"/>
  <c r="K1987" i="2" s="1"/>
  <c r="Q1990" i="2"/>
  <c r="M2052" i="2"/>
  <c r="M2051" i="2" s="1"/>
  <c r="M2050" i="2" s="1"/>
  <c r="M2049" i="2" s="1"/>
  <c r="O2052" i="2"/>
  <c r="O2051" i="2" s="1"/>
  <c r="O2050" i="2" s="1"/>
  <c r="O2049" i="2" s="1"/>
  <c r="I2078" i="2"/>
  <c r="M2177" i="2"/>
  <c r="M2176" i="2" s="1"/>
  <c r="P2177" i="2"/>
  <c r="P2176" i="2" s="1"/>
  <c r="P2197" i="2"/>
  <c r="P2196" i="2" s="1"/>
  <c r="P2174" i="2" s="1"/>
  <c r="L2408" i="2"/>
  <c r="M2408" i="2"/>
  <c r="R2436" i="2"/>
  <c r="R2435" i="2" s="1"/>
  <c r="Q2436" i="2"/>
  <c r="Q2435" i="2" s="1"/>
  <c r="M2249" i="2"/>
  <c r="M2248" i="2" s="1"/>
  <c r="M2247" i="2" s="1"/>
  <c r="M2246" i="2" s="1"/>
  <c r="O2249" i="2"/>
  <c r="O2248" i="2" s="1"/>
  <c r="O2247" i="2" s="1"/>
  <c r="O2246" i="2" s="1"/>
  <c r="P2276" i="2"/>
  <c r="O2293" i="2"/>
  <c r="L2436" i="2"/>
  <c r="L2435" i="2" s="1"/>
  <c r="Q2423" i="2"/>
  <c r="Q2422" i="2" s="1"/>
  <c r="Q2421" i="2" s="1"/>
  <c r="K2436" i="2"/>
  <c r="K2435" i="2" s="1"/>
  <c r="Q2477" i="2"/>
  <c r="Q2476" i="2" s="1"/>
  <c r="M2512" i="2"/>
  <c r="M2511" i="2" s="1"/>
  <c r="M2510" i="2" s="1"/>
  <c r="M2509" i="2" s="1"/>
  <c r="Q2564" i="2"/>
  <c r="Q2563" i="2" s="1"/>
  <c r="Q2562" i="2" s="1"/>
  <c r="Q2561" i="2" s="1"/>
  <c r="Q2560" i="2" s="1"/>
  <c r="L20" i="3" s="1"/>
  <c r="L2564" i="2"/>
  <c r="L2563" i="2" s="1"/>
  <c r="L2562" i="2" s="1"/>
  <c r="R2564" i="2"/>
  <c r="R2563" i="2" s="1"/>
  <c r="R2562" i="2" s="1"/>
  <c r="B592" i="2" l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I1466" i="2"/>
  <c r="T1661" i="2"/>
  <c r="T26" i="2"/>
  <c r="K54" i="13"/>
  <c r="T167" i="2"/>
  <c r="N275" i="2"/>
  <c r="T282" i="2"/>
  <c r="N124" i="2"/>
  <c r="N133" i="2"/>
  <c r="K142" i="13"/>
  <c r="T1891" i="2"/>
  <c r="K143" i="13"/>
  <c r="M143" i="13" s="1"/>
  <c r="T1899" i="2"/>
  <c r="N2088" i="2"/>
  <c r="T2091" i="2"/>
  <c r="T31" i="2"/>
  <c r="T298" i="2"/>
  <c r="N2197" i="2"/>
  <c r="T2220" i="2"/>
  <c r="I24" i="13"/>
  <c r="M24" i="13" s="1"/>
  <c r="T102" i="2"/>
  <c r="I1061" i="2"/>
  <c r="T1205" i="2"/>
  <c r="I294" i="2"/>
  <c r="I72" i="13"/>
  <c r="T317" i="2"/>
  <c r="N475" i="2"/>
  <c r="T476" i="2"/>
  <c r="T29" i="2"/>
  <c r="I15" i="13"/>
  <c r="M15" i="13" s="1"/>
  <c r="I14" i="13"/>
  <c r="T24" i="2"/>
  <c r="N132" i="2"/>
  <c r="O1480" i="2"/>
  <c r="O1466" i="2" s="1"/>
  <c r="P1480" i="2"/>
  <c r="P1466" i="2" s="1"/>
  <c r="J1062" i="2"/>
  <c r="J1061" i="2" s="1"/>
  <c r="P1061" i="2"/>
  <c r="O1061" i="2"/>
  <c r="Q1061" i="2"/>
  <c r="R1069" i="2"/>
  <c r="R1061" i="2" s="1"/>
  <c r="B2223" i="2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197" i="2"/>
  <c r="B198" i="2" s="1"/>
  <c r="B199" i="2" s="1"/>
  <c r="B200" i="2" s="1"/>
  <c r="B201" i="2" s="1"/>
  <c r="B202" i="2" s="1"/>
  <c r="B203" i="2" s="1"/>
  <c r="B204" i="2" s="1"/>
  <c r="B217" i="2" s="1"/>
  <c r="B218" i="2" s="1"/>
  <c r="B219" i="2" s="1"/>
  <c r="B220" i="2" s="1"/>
  <c r="B221" i="2" s="1"/>
  <c r="B222" i="2" s="1"/>
  <c r="B223" i="2" s="1"/>
  <c r="B51" i="2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J828" i="2"/>
  <c r="J791" i="2" s="1"/>
  <c r="J790" i="2" s="1"/>
  <c r="L828" i="2"/>
  <c r="L791" i="2" s="1"/>
  <c r="L790" i="2" s="1"/>
  <c r="K791" i="2"/>
  <c r="K790" i="2" s="1"/>
  <c r="M828" i="2"/>
  <c r="M791" i="2" s="1"/>
  <c r="M790" i="2" s="1"/>
  <c r="B364" i="2"/>
  <c r="B365" i="2" s="1"/>
  <c r="B366" i="2" s="1"/>
  <c r="B367" i="2" s="1"/>
  <c r="B368" i="2" s="1"/>
  <c r="B369" i="2" s="1"/>
  <c r="B370" i="2" s="1"/>
  <c r="I34" i="2"/>
  <c r="N264" i="2"/>
  <c r="M197" i="2"/>
  <c r="M196" i="2" s="1"/>
  <c r="P1342" i="2"/>
  <c r="P1341" i="2" s="1"/>
  <c r="P2272" i="2"/>
  <c r="P2271" i="2"/>
  <c r="Q2272" i="2"/>
  <c r="Q2271" i="2"/>
  <c r="K2272" i="2"/>
  <c r="K2271" i="2"/>
  <c r="J2272" i="2"/>
  <c r="J2271" i="2"/>
  <c r="J2561" i="2"/>
  <c r="J2560" i="2" s="1"/>
  <c r="E20" i="3" s="1"/>
  <c r="R2561" i="2"/>
  <c r="R2560" i="2" s="1"/>
  <c r="M20" i="3" s="1"/>
  <c r="P2561" i="2"/>
  <c r="P2560" i="2" s="1"/>
  <c r="K20" i="3" s="1"/>
  <c r="L2561" i="2"/>
  <c r="L2560" i="2" s="1"/>
  <c r="G20" i="3" s="1"/>
  <c r="Q20" i="3" s="1"/>
  <c r="K2561" i="2"/>
  <c r="K2560" i="2" s="1"/>
  <c r="F20" i="3" s="1"/>
  <c r="M2561" i="2"/>
  <c r="M2560" i="2" s="1"/>
  <c r="H20" i="3" s="1"/>
  <c r="O2561" i="2"/>
  <c r="O2560" i="2" s="1"/>
  <c r="J20" i="3" s="1"/>
  <c r="Q1917" i="2"/>
  <c r="Q1890" i="2" s="1"/>
  <c r="P1989" i="2"/>
  <c r="P1988" i="2" s="1"/>
  <c r="P1987" i="2" s="1"/>
  <c r="O1989" i="2"/>
  <c r="O1988" i="2" s="1"/>
  <c r="O1987" i="2" s="1"/>
  <c r="O1986" i="2"/>
  <c r="Q1989" i="2"/>
  <c r="Q1988" i="2" s="1"/>
  <c r="Q1987" i="2" s="1"/>
  <c r="Q1986" i="2"/>
  <c r="R1989" i="2"/>
  <c r="R1988" i="2" s="1"/>
  <c r="R1987" i="2" s="1"/>
  <c r="R1986" i="2"/>
  <c r="I1383" i="2"/>
  <c r="T1383" i="2" s="1"/>
  <c r="R1917" i="2"/>
  <c r="R1890" i="2" s="1"/>
  <c r="O1919" i="2"/>
  <c r="O1918" i="2" s="1"/>
  <c r="P1919" i="2"/>
  <c r="P1918" i="2" s="1"/>
  <c r="I320" i="2"/>
  <c r="P562" i="2"/>
  <c r="P554" i="2" s="1"/>
  <c r="K14" i="3" s="1"/>
  <c r="P340" i="2"/>
  <c r="P339" i="2" s="1"/>
  <c r="P294" i="2" s="1"/>
  <c r="K12" i="3" s="1"/>
  <c r="Q2175" i="2"/>
  <c r="L1342" i="2"/>
  <c r="L1341" i="2" s="1"/>
  <c r="M340" i="2"/>
  <c r="M339" i="2" s="1"/>
  <c r="M294" i="2" s="1"/>
  <c r="H12" i="3" s="1"/>
  <c r="M161" i="2"/>
  <c r="K2287" i="2"/>
  <c r="K2286" i="2" s="1"/>
  <c r="P450" i="2"/>
  <c r="P449" i="2" s="1"/>
  <c r="P425" i="2" s="1"/>
  <c r="K13" i="3" s="1"/>
  <c r="Q2420" i="2"/>
  <c r="M2287" i="2"/>
  <c r="M2286" i="2" s="1"/>
  <c r="K1900" i="2"/>
  <c r="K1899" i="2"/>
  <c r="M1900" i="2"/>
  <c r="M1899" i="2"/>
  <c r="R450" i="2"/>
  <c r="R449" i="2" s="1"/>
  <c r="R425" i="2" s="1"/>
  <c r="M13" i="3" s="1"/>
  <c r="J197" i="2"/>
  <c r="J196" i="2" s="1"/>
  <c r="L2420" i="2"/>
  <c r="I2267" i="2"/>
  <c r="P197" i="2"/>
  <c r="P196" i="2" s="1"/>
  <c r="L197" i="2"/>
  <c r="L196" i="2" s="1"/>
  <c r="Q161" i="2"/>
  <c r="R1771" i="2"/>
  <c r="M1342" i="2"/>
  <c r="M1341" i="2" s="1"/>
  <c r="J562" i="2"/>
  <c r="J554" i="2" s="1"/>
  <c r="E14" i="3" s="1"/>
  <c r="J340" i="2"/>
  <c r="J339" i="2" s="1"/>
  <c r="J294" i="2" s="1"/>
  <c r="E12" i="3" s="1"/>
  <c r="K2420" i="2"/>
  <c r="K1342" i="2"/>
  <c r="K1341" i="2" s="1"/>
  <c r="L340" i="2"/>
  <c r="L339" i="2" s="1"/>
  <c r="L294" i="2" s="1"/>
  <c r="G12" i="3" s="1"/>
  <c r="N220" i="2"/>
  <c r="L2287" i="2"/>
  <c r="L2286" i="2" s="1"/>
  <c r="I1636" i="2"/>
  <c r="T1636" i="2" s="1"/>
  <c r="L2048" i="2"/>
  <c r="G17" i="3" s="1"/>
  <c r="I790" i="2"/>
  <c r="O562" i="2"/>
  <c r="O554" i="2" s="1"/>
  <c r="J14" i="3" s="1"/>
  <c r="M450" i="2"/>
  <c r="M449" i="2" s="1"/>
  <c r="M425" i="2" s="1"/>
  <c r="H13" i="3" s="1"/>
  <c r="R562" i="2"/>
  <c r="R554" i="2" s="1"/>
  <c r="M14" i="3" s="1"/>
  <c r="K1772" i="2"/>
  <c r="K1771" i="2" s="1"/>
  <c r="I1890" i="2"/>
  <c r="I1861" i="2" s="1"/>
  <c r="R2420" i="2"/>
  <c r="M2175" i="2"/>
  <c r="I584" i="2"/>
  <c r="R2175" i="2"/>
  <c r="J2287" i="2"/>
  <c r="J2286" i="2" s="1"/>
  <c r="L1480" i="2"/>
  <c r="L1467" i="2" s="1"/>
  <c r="L1466" i="2" s="1"/>
  <c r="Q1771" i="2"/>
  <c r="K2175" i="2"/>
  <c r="I1662" i="2"/>
  <c r="T1662" i="2" s="1"/>
  <c r="R1342" i="2"/>
  <c r="R1341" i="2" s="1"/>
  <c r="K340" i="2"/>
  <c r="K339" i="2" s="1"/>
  <c r="K294" i="2" s="1"/>
  <c r="F12" i="3" s="1"/>
  <c r="N341" i="2"/>
  <c r="J2048" i="2"/>
  <c r="E17" i="3" s="1"/>
  <c r="M2420" i="2"/>
  <c r="J1772" i="2"/>
  <c r="J1771" i="2" s="1"/>
  <c r="Q562" i="2"/>
  <c r="Q554" i="2" s="1"/>
  <c r="L14" i="3" s="1"/>
  <c r="R2048" i="2"/>
  <c r="M17" i="3" s="1"/>
  <c r="J161" i="2"/>
  <c r="L2175" i="2"/>
  <c r="Q2048" i="2"/>
  <c r="L17" i="3" s="1"/>
  <c r="O121" i="2"/>
  <c r="J10" i="3" s="1"/>
  <c r="M1772" i="2"/>
  <c r="M1771" i="2" s="1"/>
  <c r="I1616" i="2"/>
  <c r="T1616" i="2" s="1"/>
  <c r="Q1480" i="2"/>
  <c r="J1900" i="2"/>
  <c r="Q450" i="2"/>
  <c r="Q449" i="2" s="1"/>
  <c r="Q425" i="2" s="1"/>
  <c r="L13" i="3" s="1"/>
  <c r="O340" i="2"/>
  <c r="O339" i="2" s="1"/>
  <c r="O294" i="2" s="1"/>
  <c r="J12" i="3" s="1"/>
  <c r="O1890" i="2"/>
  <c r="Q1342" i="2"/>
  <c r="Q1341" i="2" s="1"/>
  <c r="Q197" i="2"/>
  <c r="Q196" i="2" s="1"/>
  <c r="J450" i="2"/>
  <c r="J449" i="2" s="1"/>
  <c r="J425" i="2" s="1"/>
  <c r="E13" i="3" s="1"/>
  <c r="P161" i="2"/>
  <c r="P121" i="2"/>
  <c r="K10" i="3" s="1"/>
  <c r="N255" i="2"/>
  <c r="N121" i="2"/>
  <c r="Q8" i="2"/>
  <c r="L9" i="3" s="1"/>
  <c r="O161" i="2"/>
  <c r="J121" i="2"/>
  <c r="E10" i="3" s="1"/>
  <c r="L161" i="2"/>
  <c r="R161" i="2"/>
  <c r="M9" i="2"/>
  <c r="M8" i="2" s="1"/>
  <c r="H9" i="3" s="1"/>
  <c r="N12" i="2"/>
  <c r="P8" i="2"/>
  <c r="K9" i="3" s="1"/>
  <c r="O2048" i="2"/>
  <c r="J17" i="3" s="1"/>
  <c r="N595" i="2"/>
  <c r="I12" i="2"/>
  <c r="T12" i="2" s="1"/>
  <c r="O8" i="2"/>
  <c r="J9" i="3" s="1"/>
  <c r="R121" i="2"/>
  <c r="M10" i="3" s="1"/>
  <c r="K161" i="2"/>
  <c r="M121" i="2"/>
  <c r="H10" i="3" s="1"/>
  <c r="L121" i="2"/>
  <c r="G10" i="3" s="1"/>
  <c r="M2091" i="2"/>
  <c r="M2090" i="2" s="1"/>
  <c r="M2089" i="2" s="1"/>
  <c r="M2088" i="2" s="1"/>
  <c r="M2048" i="2" s="1"/>
  <c r="H17" i="3" s="1"/>
  <c r="I318" i="2"/>
  <c r="R1480" i="2"/>
  <c r="J1480" i="2"/>
  <c r="J1467" i="2" s="1"/>
  <c r="J1466" i="2" s="1"/>
  <c r="O197" i="2"/>
  <c r="O196" i="2" s="1"/>
  <c r="K1062" i="2"/>
  <c r="K1061" i="2" s="1"/>
  <c r="K554" i="2"/>
  <c r="F14" i="3" s="1"/>
  <c r="K450" i="2"/>
  <c r="K449" i="2" s="1"/>
  <c r="K425" i="2" s="1"/>
  <c r="F13" i="3" s="1"/>
  <c r="Q791" i="2"/>
  <c r="Q790" i="2" s="1"/>
  <c r="R197" i="2"/>
  <c r="R196" i="2" s="1"/>
  <c r="P1771" i="2"/>
  <c r="O791" i="2"/>
  <c r="O790" i="2" s="1"/>
  <c r="O450" i="2"/>
  <c r="O449" i="2" s="1"/>
  <c r="O425" i="2" s="1"/>
  <c r="J13" i="3" s="1"/>
  <c r="L450" i="2"/>
  <c r="L449" i="2" s="1"/>
  <c r="L425" i="2" s="1"/>
  <c r="G13" i="3" s="1"/>
  <c r="K197" i="2"/>
  <c r="K196" i="2" s="1"/>
  <c r="J2175" i="2"/>
  <c r="P2175" i="2"/>
  <c r="O1342" i="2"/>
  <c r="O1341" i="2" s="1"/>
  <c r="N181" i="2"/>
  <c r="M1480" i="2"/>
  <c r="M1467" i="2" s="1"/>
  <c r="M1466" i="2" s="1"/>
  <c r="P791" i="2"/>
  <c r="P790" i="2" s="1"/>
  <c r="Q121" i="2"/>
  <c r="L10" i="3" s="1"/>
  <c r="N256" i="2"/>
  <c r="I2293" i="2"/>
  <c r="K8" i="2"/>
  <c r="F9" i="3" s="1"/>
  <c r="M562" i="2"/>
  <c r="M554" i="2" s="1"/>
  <c r="H14" i="3" s="1"/>
  <c r="I158" i="2"/>
  <c r="T158" i="2" s="1"/>
  <c r="I1873" i="2"/>
  <c r="L562" i="2"/>
  <c r="L554" i="2" s="1"/>
  <c r="G14" i="3" s="1"/>
  <c r="J8" i="2"/>
  <c r="E9" i="3" s="1"/>
  <c r="J2420" i="2"/>
  <c r="P2089" i="2"/>
  <c r="P2088" i="2" s="1"/>
  <c r="P2048" i="2" s="1"/>
  <c r="K17" i="3" s="1"/>
  <c r="L1772" i="2"/>
  <c r="L1771" i="2" s="1"/>
  <c r="I1455" i="2"/>
  <c r="T1455" i="2" s="1"/>
  <c r="J1342" i="2"/>
  <c r="J1341" i="2" s="1"/>
  <c r="N500" i="2"/>
  <c r="L8" i="2"/>
  <c r="G9" i="3" s="1"/>
  <c r="Q340" i="2"/>
  <c r="Q339" i="2" s="1"/>
  <c r="Q294" i="2" s="1"/>
  <c r="L12" i="3" s="1"/>
  <c r="N254" i="2"/>
  <c r="R8" i="2"/>
  <c r="M9" i="3" s="1"/>
  <c r="O2420" i="2"/>
  <c r="P2420" i="2"/>
  <c r="R340" i="2"/>
  <c r="R339" i="2" s="1"/>
  <c r="R294" i="2" s="1"/>
  <c r="M12" i="3" s="1"/>
  <c r="K121" i="2"/>
  <c r="F10" i="3" s="1"/>
  <c r="I125" i="2"/>
  <c r="T125" i="2" s="1"/>
  <c r="K1480" i="2"/>
  <c r="K1467" i="2" s="1"/>
  <c r="K1466" i="2" s="1"/>
  <c r="N499" i="2"/>
  <c r="N506" i="2"/>
  <c r="I319" i="2"/>
  <c r="O1771" i="2"/>
  <c r="I180" i="2"/>
  <c r="N25" i="2"/>
  <c r="I306" i="2"/>
  <c r="I181" i="2"/>
  <c r="K2048" i="2"/>
  <c r="F17" i="3" s="1"/>
  <c r="N297" i="2"/>
  <c r="N180" i="2"/>
  <c r="I305" i="2"/>
  <c r="I2238" i="2"/>
  <c r="N584" i="2"/>
  <c r="T584" i="2" s="1"/>
  <c r="I2004" i="2"/>
  <c r="T2004" i="2" s="1"/>
  <c r="I1419" i="2"/>
  <c r="T1419" i="2" s="1"/>
  <c r="R791" i="2"/>
  <c r="R790" i="2" s="1"/>
  <c r="N2079" i="2"/>
  <c r="T2079" i="2" s="1"/>
  <c r="I2266" i="2"/>
  <c r="L1062" i="2"/>
  <c r="L1061" i="2" s="1"/>
  <c r="M1062" i="2"/>
  <c r="M1061" i="2" s="1"/>
  <c r="N498" i="2"/>
  <c r="N87" i="2"/>
  <c r="I388" i="2"/>
  <c r="I347" i="2"/>
  <c r="N105" i="2"/>
  <c r="T105" i="2" s="1"/>
  <c r="I157" i="2"/>
  <c r="T157" i="2" s="1"/>
  <c r="I104" i="2"/>
  <c r="N97" i="2"/>
  <c r="I2573" i="2"/>
  <c r="I1654" i="2"/>
  <c r="T1654" i="2" s="1"/>
  <c r="I304" i="2"/>
  <c r="I2273" i="2"/>
  <c r="T2273" i="2" s="1"/>
  <c r="I1865" i="2"/>
  <c r="T1865" i="2" s="1"/>
  <c r="I2564" i="2"/>
  <c r="I2477" i="2"/>
  <c r="T2477" i="2" s="1"/>
  <c r="I2423" i="2"/>
  <c r="T2423" i="2" s="1"/>
  <c r="I2435" i="2"/>
  <c r="T2435" i="2" s="1"/>
  <c r="I2436" i="2"/>
  <c r="T2436" i="2" s="1"/>
  <c r="I2412" i="2"/>
  <c r="T2412" i="2" s="1"/>
  <c r="N2267" i="2"/>
  <c r="I2274" i="2"/>
  <c r="T2274" i="2" s="1"/>
  <c r="I1681" i="2"/>
  <c r="T1681" i="2" s="1"/>
  <c r="N1863" i="2"/>
  <c r="N347" i="2"/>
  <c r="T347" i="2" s="1"/>
  <c r="I256" i="2"/>
  <c r="N491" i="2"/>
  <c r="I220" i="2"/>
  <c r="I87" i="2"/>
  <c r="I21" i="2"/>
  <c r="T21" i="2" s="1"/>
  <c r="N388" i="2"/>
  <c r="N558" i="2"/>
  <c r="N192" i="2"/>
  <c r="T192" i="2" s="1"/>
  <c r="I30" i="2"/>
  <c r="T30" i="2" s="1"/>
  <c r="I297" i="2"/>
  <c r="N20" i="2"/>
  <c r="I133" i="2"/>
  <c r="T133" i="2" s="1"/>
  <c r="I2529" i="2"/>
  <c r="T2529" i="2" s="1"/>
  <c r="I2289" i="2"/>
  <c r="I2288" i="2"/>
  <c r="I812" i="2"/>
  <c r="T812" i="2" s="1"/>
  <c r="I191" i="2"/>
  <c r="I132" i="2"/>
  <c r="I35" i="2"/>
  <c r="N2564" i="2"/>
  <c r="N1893" i="2"/>
  <c r="I2052" i="2"/>
  <c r="I2506" i="2"/>
  <c r="T2506" i="2" s="1"/>
  <c r="I2456" i="2"/>
  <c r="T2456" i="2" s="1"/>
  <c r="I2455" i="2"/>
  <c r="T2455" i="2" s="1"/>
  <c r="I2276" i="2"/>
  <c r="I2462" i="2"/>
  <c r="T2462" i="2" s="1"/>
  <c r="O2175" i="2"/>
  <c r="I2177" i="2"/>
  <c r="I2176" i="2"/>
  <c r="I1872" i="2"/>
  <c r="N2293" i="2"/>
  <c r="N2276" i="2"/>
  <c r="P1890" i="2"/>
  <c r="P1861" i="2" s="1"/>
  <c r="K16" i="3" s="1"/>
  <c r="I1893" i="2"/>
  <c r="I1723" i="2"/>
  <c r="T1723" i="2" s="1"/>
  <c r="I500" i="2"/>
  <c r="I558" i="2"/>
  <c r="I163" i="2"/>
  <c r="N426" i="2"/>
  <c r="N164" i="2"/>
  <c r="T164" i="2" s="1"/>
  <c r="I11" i="2"/>
  <c r="I362" i="2"/>
  <c r="I124" i="2"/>
  <c r="I36" i="2"/>
  <c r="I134" i="2"/>
  <c r="T134" i="2" s="1"/>
  <c r="N11" i="2"/>
  <c r="I45" i="2"/>
  <c r="T220" i="2" l="1"/>
  <c r="T181" i="2"/>
  <c r="T256" i="2"/>
  <c r="T2564" i="2"/>
  <c r="T87" i="2"/>
  <c r="T180" i="2"/>
  <c r="T558" i="2"/>
  <c r="T2267" i="2"/>
  <c r="T297" i="2"/>
  <c r="I69" i="13"/>
  <c r="D9" i="14" s="1"/>
  <c r="F9" i="14" s="1"/>
  <c r="M72" i="13"/>
  <c r="M142" i="13"/>
  <c r="K87" i="13"/>
  <c r="T426" i="2"/>
  <c r="T500" i="2"/>
  <c r="T2293" i="2"/>
  <c r="I10" i="3"/>
  <c r="T121" i="2"/>
  <c r="I125" i="13"/>
  <c r="T790" i="2"/>
  <c r="I9" i="2"/>
  <c r="I16" i="13"/>
  <c r="M16" i="13" s="1"/>
  <c r="T34" i="2"/>
  <c r="M14" i="13"/>
  <c r="N449" i="2"/>
  <c r="T475" i="2"/>
  <c r="T1893" i="2"/>
  <c r="I126" i="13"/>
  <c r="M126" i="13" s="1"/>
  <c r="T1061" i="2"/>
  <c r="N2196" i="2"/>
  <c r="T2197" i="2"/>
  <c r="K164" i="13"/>
  <c r="T2088" i="2"/>
  <c r="N123" i="2"/>
  <c r="T124" i="2"/>
  <c r="M54" i="13"/>
  <c r="K52" i="13"/>
  <c r="N263" i="2"/>
  <c r="T264" i="2"/>
  <c r="K61" i="13"/>
  <c r="M61" i="13" s="1"/>
  <c r="T275" i="2"/>
  <c r="T11" i="2"/>
  <c r="T2276" i="2"/>
  <c r="T388" i="2"/>
  <c r="O1467" i="2"/>
  <c r="K103" i="13"/>
  <c r="T595" i="2"/>
  <c r="B76" i="2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T132" i="2"/>
  <c r="M69" i="13"/>
  <c r="I128" i="13"/>
  <c r="M128" i="13" s="1"/>
  <c r="T1466" i="2"/>
  <c r="R1467" i="2"/>
  <c r="R1466" i="2"/>
  <c r="Q1467" i="2"/>
  <c r="Q1466" i="2"/>
  <c r="Q789" i="2" s="1"/>
  <c r="L15" i="3" s="1"/>
  <c r="B2252" i="2"/>
  <c r="B2253" i="2" s="1"/>
  <c r="B2254" i="2" s="1"/>
  <c r="B2255" i="2" s="1"/>
  <c r="B2256" i="2" s="1"/>
  <c r="B2257" i="2" s="1"/>
  <c r="B2258" i="2" s="1"/>
  <c r="B2259" i="2" s="1"/>
  <c r="B2260" i="2" s="1"/>
  <c r="B2261" i="2" s="1"/>
  <c r="B2388" i="2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R20" i="3"/>
  <c r="P1467" i="2"/>
  <c r="P789" i="2" s="1"/>
  <c r="K15" i="3" s="1"/>
  <c r="R14" i="3"/>
  <c r="P14" i="3"/>
  <c r="B371" i="2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P12" i="3"/>
  <c r="P13" i="3"/>
  <c r="R17" i="3"/>
  <c r="Q13" i="3"/>
  <c r="R10" i="3"/>
  <c r="O10" i="3"/>
  <c r="O12" i="3"/>
  <c r="P17" i="3"/>
  <c r="Q10" i="3"/>
  <c r="O13" i="3"/>
  <c r="Q17" i="3"/>
  <c r="Q12" i="3"/>
  <c r="O14" i="3"/>
  <c r="R12" i="3"/>
  <c r="P10" i="3"/>
  <c r="Q14" i="3"/>
  <c r="O17" i="3"/>
  <c r="R13" i="3"/>
  <c r="P20" i="3"/>
  <c r="O20" i="3"/>
  <c r="Q9" i="3"/>
  <c r="O9" i="3"/>
  <c r="P9" i="3"/>
  <c r="R9" i="3"/>
  <c r="M154" i="2"/>
  <c r="H11" i="3" s="1"/>
  <c r="Q2173" i="2"/>
  <c r="L18" i="3" s="1"/>
  <c r="B1906" i="2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R1861" i="2"/>
  <c r="M16" i="3" s="1"/>
  <c r="O1861" i="2"/>
  <c r="J16" i="3" s="1"/>
  <c r="Q1861" i="2"/>
  <c r="L16" i="3" s="1"/>
  <c r="K2173" i="2"/>
  <c r="F18" i="3" s="1"/>
  <c r="R2173" i="2"/>
  <c r="M18" i="3" s="1"/>
  <c r="P2173" i="2"/>
  <c r="K18" i="3" s="1"/>
  <c r="M2173" i="2"/>
  <c r="H18" i="3" s="1"/>
  <c r="P154" i="2"/>
  <c r="K11" i="3" s="1"/>
  <c r="O2173" i="2"/>
  <c r="J18" i="3" s="1"/>
  <c r="K1890" i="2"/>
  <c r="K1861" i="2" s="1"/>
  <c r="F16" i="3" s="1"/>
  <c r="P16" i="3" s="1"/>
  <c r="N342" i="2"/>
  <c r="P2362" i="2"/>
  <c r="K19" i="3" s="1"/>
  <c r="K2362" i="2"/>
  <c r="F19" i="3" s="1"/>
  <c r="Q154" i="2"/>
  <c r="L11" i="3" s="1"/>
  <c r="L154" i="2"/>
  <c r="G11" i="3" s="1"/>
  <c r="I25" i="2"/>
  <c r="T25" i="2" s="1"/>
  <c r="J154" i="2"/>
  <c r="E11" i="3" s="1"/>
  <c r="J2362" i="2"/>
  <c r="E19" i="3" s="1"/>
  <c r="R2362" i="2"/>
  <c r="M19" i="3" s="1"/>
  <c r="L2173" i="2"/>
  <c r="G18" i="3" s="1"/>
  <c r="N792" i="2"/>
  <c r="M2362" i="2"/>
  <c r="H19" i="3" s="1"/>
  <c r="N793" i="2"/>
  <c r="J2173" i="2"/>
  <c r="E18" i="3" s="1"/>
  <c r="L1890" i="2"/>
  <c r="L1861" i="2" s="1"/>
  <c r="G16" i="3" s="1"/>
  <c r="R154" i="2"/>
  <c r="M11" i="3" s="1"/>
  <c r="J1890" i="2"/>
  <c r="J1861" i="2" s="1"/>
  <c r="E16" i="3" s="1"/>
  <c r="M1890" i="2"/>
  <c r="M1861" i="2" s="1"/>
  <c r="H16" i="3" s="1"/>
  <c r="M789" i="2"/>
  <c r="H15" i="3" s="1"/>
  <c r="N156" i="2"/>
  <c r="I2364" i="2"/>
  <c r="T2364" i="2" s="1"/>
  <c r="O789" i="2"/>
  <c r="J15" i="3" s="1"/>
  <c r="N306" i="2"/>
  <c r="T306" i="2" s="1"/>
  <c r="I789" i="2"/>
  <c r="T789" i="2" s="1"/>
  <c r="Q2362" i="2"/>
  <c r="L19" i="3" s="1"/>
  <c r="O2362" i="2"/>
  <c r="J19" i="3" s="1"/>
  <c r="K154" i="2"/>
  <c r="F11" i="3" s="1"/>
  <c r="O154" i="2"/>
  <c r="J11" i="3" s="1"/>
  <c r="L2362" i="2"/>
  <c r="G19" i="3" s="1"/>
  <c r="K789" i="2"/>
  <c r="F15" i="3" s="1"/>
  <c r="N505" i="2"/>
  <c r="N2177" i="2"/>
  <c r="T2177" i="2" s="1"/>
  <c r="J789" i="2"/>
  <c r="E15" i="3" s="1"/>
  <c r="N278" i="2"/>
  <c r="T278" i="2" s="1"/>
  <c r="L789" i="2"/>
  <c r="G15" i="3" s="1"/>
  <c r="I169" i="2"/>
  <c r="N296" i="2"/>
  <c r="R789" i="2"/>
  <c r="M15" i="3" s="1"/>
  <c r="N169" i="2"/>
  <c r="I2237" i="2"/>
  <c r="N36" i="2"/>
  <c r="T36" i="2" s="1"/>
  <c r="I1919" i="2"/>
  <c r="N1873" i="2"/>
  <c r="T1873" i="2" s="1"/>
  <c r="N2052" i="2"/>
  <c r="T2052" i="2" s="1"/>
  <c r="I1864" i="2"/>
  <c r="T1864" i="2" s="1"/>
  <c r="I491" i="2"/>
  <c r="T491" i="2" s="1"/>
  <c r="I2265" i="2"/>
  <c r="N305" i="2"/>
  <c r="T305" i="2" s="1"/>
  <c r="N452" i="2"/>
  <c r="N2119" i="2"/>
  <c r="N384" i="2"/>
  <c r="I499" i="2"/>
  <c r="T499" i="2" s="1"/>
  <c r="N2271" i="2"/>
  <c r="N1944" i="2"/>
  <c r="I20" i="2"/>
  <c r="T20" i="2" s="1"/>
  <c r="I199" i="2"/>
  <c r="I198" i="2"/>
  <c r="N598" i="2"/>
  <c r="I598" i="2"/>
  <c r="I44" i="2"/>
  <c r="N163" i="2"/>
  <c r="T163" i="2" s="1"/>
  <c r="N2238" i="2"/>
  <c r="T2238" i="2" s="1"/>
  <c r="I235" i="2"/>
  <c r="I296" i="2"/>
  <c r="N45" i="2"/>
  <c r="T45" i="2" s="1"/>
  <c r="I341" i="2"/>
  <c r="T341" i="2" s="1"/>
  <c r="I342" i="2"/>
  <c r="I255" i="2"/>
  <c r="T255" i="2" s="1"/>
  <c r="I2563" i="2"/>
  <c r="N86" i="2"/>
  <c r="I123" i="2"/>
  <c r="N362" i="2"/>
  <c r="T362" i="2" s="1"/>
  <c r="I1871" i="2"/>
  <c r="I2051" i="2"/>
  <c r="I384" i="2"/>
  <c r="N191" i="2"/>
  <c r="T191" i="2" s="1"/>
  <c r="N277" i="2"/>
  <c r="T277" i="2" s="1"/>
  <c r="I1989" i="2"/>
  <c r="T1989" i="2" s="1"/>
  <c r="I1988" i="2"/>
  <c r="T1988" i="2" s="1"/>
  <c r="I2422" i="2"/>
  <c r="T2422" i="2" s="1"/>
  <c r="I1918" i="2"/>
  <c r="I156" i="2"/>
  <c r="N235" i="2"/>
  <c r="N2078" i="2"/>
  <c r="T2078" i="2" s="1"/>
  <c r="N2573" i="2"/>
  <c r="T2573" i="2" s="1"/>
  <c r="I557" i="2"/>
  <c r="N1917" i="2"/>
  <c r="I2505" i="2"/>
  <c r="T2505" i="2" s="1"/>
  <c r="N63" i="2"/>
  <c r="T63" i="2" s="1"/>
  <c r="I86" i="2"/>
  <c r="T86" i="2" s="1"/>
  <c r="N2227" i="2"/>
  <c r="T2227" i="2" s="1"/>
  <c r="N2229" i="2"/>
  <c r="T2229" i="2" s="1"/>
  <c r="I361" i="2"/>
  <c r="N1919" i="2"/>
  <c r="N1918" i="2"/>
  <c r="O2387" i="2"/>
  <c r="P2387" i="2" s="1"/>
  <c r="Q2387" i="2" s="1"/>
  <c r="R2387" i="2" s="1"/>
  <c r="N2289" i="2"/>
  <c r="O2289" i="2" s="1"/>
  <c r="P2289" i="2" s="1"/>
  <c r="Q2289" i="2" s="1"/>
  <c r="R2289" i="2" s="1"/>
  <c r="I452" i="2"/>
  <c r="N2266" i="2"/>
  <c r="T2266" i="2" s="1"/>
  <c r="N199" i="2"/>
  <c r="N429" i="2"/>
  <c r="I429" i="2"/>
  <c r="I793" i="2"/>
  <c r="T793" i="2" s="1"/>
  <c r="I792" i="2"/>
  <c r="I2119" i="2"/>
  <c r="I1892" i="2"/>
  <c r="I2090" i="2"/>
  <c r="I2387" i="2"/>
  <c r="T2387" i="2" s="1"/>
  <c r="N1892" i="2"/>
  <c r="N2563" i="2"/>
  <c r="T2563" i="2" s="1"/>
  <c r="N320" i="2"/>
  <c r="T320" i="2" s="1"/>
  <c r="I190" i="2"/>
  <c r="N557" i="2"/>
  <c r="I506" i="2"/>
  <c r="T506" i="2" s="1"/>
  <c r="N490" i="2"/>
  <c r="I1944" i="2"/>
  <c r="I2248" i="2"/>
  <c r="I1344" i="2"/>
  <c r="T1344" i="2" s="1"/>
  <c r="I1343" i="2"/>
  <c r="T1343" i="2" s="1"/>
  <c r="I2381" i="2"/>
  <c r="T2381" i="2" s="1"/>
  <c r="I2512" i="2"/>
  <c r="T2512" i="2" s="1"/>
  <c r="I2572" i="2"/>
  <c r="N96" i="2"/>
  <c r="I103" i="2"/>
  <c r="N104" i="2"/>
  <c r="T104" i="2" s="1"/>
  <c r="N2176" i="2"/>
  <c r="T2176" i="2" s="1"/>
  <c r="I98" i="2"/>
  <c r="T98" i="2" s="1"/>
  <c r="I1900" i="2"/>
  <c r="T1892" i="2" l="1"/>
  <c r="T156" i="2"/>
  <c r="T2289" i="2"/>
  <c r="K144" i="13"/>
  <c r="T1917" i="2"/>
  <c r="T384" i="2"/>
  <c r="M87" i="13"/>
  <c r="T598" i="2"/>
  <c r="T1919" i="2"/>
  <c r="M164" i="13"/>
  <c r="K161" i="13"/>
  <c r="I11" i="13"/>
  <c r="T557" i="2"/>
  <c r="T2119" i="2"/>
  <c r="T429" i="2"/>
  <c r="T1918" i="2"/>
  <c r="K181" i="13"/>
  <c r="T2271" i="2"/>
  <c r="T452" i="2"/>
  <c r="T296" i="2"/>
  <c r="T342" i="2"/>
  <c r="T235" i="2"/>
  <c r="M52" i="13"/>
  <c r="K88" i="13"/>
  <c r="M88" i="13" s="1"/>
  <c r="T449" i="2"/>
  <c r="I8" i="2"/>
  <c r="T9" i="2"/>
  <c r="T1944" i="2"/>
  <c r="T792" i="2"/>
  <c r="T199" i="2"/>
  <c r="T169" i="2"/>
  <c r="M103" i="13"/>
  <c r="K100" i="13"/>
  <c r="N262" i="2"/>
  <c r="T263" i="2"/>
  <c r="T123" i="2"/>
  <c r="N2174" i="2"/>
  <c r="T2196" i="2"/>
  <c r="I124" i="13"/>
  <c r="M125" i="13"/>
  <c r="B2262" i="2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24" i="2"/>
  <c r="B225" i="2" s="1"/>
  <c r="B226" i="2" s="1"/>
  <c r="B227" i="2" s="1"/>
  <c r="B228" i="2" s="1"/>
  <c r="B229" i="2" s="1"/>
  <c r="B230" i="2" s="1"/>
  <c r="B231" i="2" s="1"/>
  <c r="B232" i="2" s="1"/>
  <c r="B233" i="2" s="1"/>
  <c r="B388" i="2"/>
  <c r="B389" i="2" s="1"/>
  <c r="B390" i="2" s="1"/>
  <c r="B391" i="2" s="1"/>
  <c r="B392" i="2" s="1"/>
  <c r="B393" i="2" s="1"/>
  <c r="B394" i="2" s="1"/>
  <c r="B395" i="2" s="1"/>
  <c r="B1918" i="2"/>
  <c r="B1919" i="2" s="1"/>
  <c r="B1920" i="2" s="1"/>
  <c r="Q19" i="3"/>
  <c r="Q18" i="3"/>
  <c r="Q16" i="3"/>
  <c r="F8" i="3"/>
  <c r="E8" i="3"/>
  <c r="J8" i="3"/>
  <c r="J22" i="3" s="1"/>
  <c r="L8" i="3"/>
  <c r="L22" i="3" s="1"/>
  <c r="K8" i="3"/>
  <c r="P11" i="3"/>
  <c r="O11" i="3"/>
  <c r="P19" i="3"/>
  <c r="R11" i="3"/>
  <c r="P18" i="3"/>
  <c r="O16" i="3"/>
  <c r="Q11" i="3"/>
  <c r="R16" i="3"/>
  <c r="R15" i="3"/>
  <c r="O18" i="3"/>
  <c r="O15" i="3"/>
  <c r="R18" i="3"/>
  <c r="P15" i="3"/>
  <c r="Q15" i="3"/>
  <c r="O19" i="3"/>
  <c r="R19" i="3"/>
  <c r="M8" i="3"/>
  <c r="M22" i="3" s="1"/>
  <c r="H8" i="3"/>
  <c r="G8" i="3"/>
  <c r="B2418" i="2"/>
  <c r="B2419" i="2" s="1"/>
  <c r="B2420" i="2" s="1"/>
  <c r="B2421" i="2" s="1"/>
  <c r="B2422" i="2" s="1"/>
  <c r="B2423" i="2" s="1"/>
  <c r="B2424" i="2" s="1"/>
  <c r="B2425" i="2" s="1"/>
  <c r="N504" i="2"/>
  <c r="N1900" i="2"/>
  <c r="T1900" i="2" s="1"/>
  <c r="D10" i="3"/>
  <c r="N10" i="3" s="1"/>
  <c r="N168" i="2"/>
  <c r="I168" i="2"/>
  <c r="N35" i="2"/>
  <c r="T35" i="2" s="1"/>
  <c r="I2511" i="2"/>
  <c r="T2511" i="2" s="1"/>
  <c r="I97" i="2"/>
  <c r="T97" i="2" s="1"/>
  <c r="I2247" i="2"/>
  <c r="I1943" i="2"/>
  <c r="N340" i="2"/>
  <c r="N319" i="2"/>
  <c r="T319" i="2" s="1"/>
  <c r="I2386" i="2"/>
  <c r="T2386" i="2" s="1"/>
  <c r="N2248" i="2"/>
  <c r="T2248" i="2" s="1"/>
  <c r="I428" i="2"/>
  <c r="I234" i="2"/>
  <c r="I43" i="2"/>
  <c r="I563" i="2"/>
  <c r="I597" i="2"/>
  <c r="N1943" i="2"/>
  <c r="N383" i="2"/>
  <c r="N2118" i="2"/>
  <c r="I490" i="2"/>
  <c r="T490" i="2" s="1"/>
  <c r="I2380" i="2"/>
  <c r="T2380" i="2" s="1"/>
  <c r="I505" i="2"/>
  <c r="T505" i="2" s="1"/>
  <c r="N198" i="2"/>
  <c r="T198" i="2" s="1"/>
  <c r="N234" i="2"/>
  <c r="N361" i="2"/>
  <c r="T361" i="2" s="1"/>
  <c r="N85" i="2"/>
  <c r="I2272" i="2"/>
  <c r="I2408" i="2"/>
  <c r="T2408" i="2" s="1"/>
  <c r="I1863" i="2"/>
  <c r="T1863" i="2" s="1"/>
  <c r="N1872" i="2"/>
  <c r="T1872" i="2" s="1"/>
  <c r="N563" i="2"/>
  <c r="T563" i="2" s="1"/>
  <c r="N2175" i="2"/>
  <c r="N103" i="2"/>
  <c r="T103" i="2" s="1"/>
  <c r="I2287" i="2"/>
  <c r="N556" i="2"/>
  <c r="N791" i="2"/>
  <c r="I2175" i="2"/>
  <c r="N2265" i="2"/>
  <c r="N2259" i="2" s="1"/>
  <c r="O2386" i="2"/>
  <c r="P2386" i="2" s="1"/>
  <c r="Q2386" i="2" s="1"/>
  <c r="R2386" i="2" s="1"/>
  <c r="I360" i="2"/>
  <c r="N62" i="2"/>
  <c r="T62" i="2" s="1"/>
  <c r="I2504" i="2"/>
  <c r="T2504" i="2" s="1"/>
  <c r="I556" i="2"/>
  <c r="N2572" i="2"/>
  <c r="T2572" i="2" s="1"/>
  <c r="N2090" i="2"/>
  <c r="T2090" i="2" s="1"/>
  <c r="N276" i="2"/>
  <c r="T276" i="2" s="1"/>
  <c r="N190" i="2"/>
  <c r="T190" i="2" s="1"/>
  <c r="I254" i="2"/>
  <c r="T254" i="2" s="1"/>
  <c r="N597" i="2"/>
  <c r="N2272" i="2"/>
  <c r="I498" i="2"/>
  <c r="T498" i="2" s="1"/>
  <c r="N489" i="2"/>
  <c r="I2118" i="2"/>
  <c r="T2118" i="2" s="1"/>
  <c r="N428" i="2"/>
  <c r="I451" i="2"/>
  <c r="N2288" i="2"/>
  <c r="I85" i="2"/>
  <c r="I197" i="2"/>
  <c r="I383" i="2"/>
  <c r="I2050" i="2"/>
  <c r="N44" i="2"/>
  <c r="T44" i="2" s="1"/>
  <c r="N2237" i="2"/>
  <c r="T2237" i="2" s="1"/>
  <c r="N161" i="2"/>
  <c r="T161" i="2" s="1"/>
  <c r="N451" i="2"/>
  <c r="N304" i="2"/>
  <c r="T304" i="2" s="1"/>
  <c r="N2051" i="2"/>
  <c r="T2051" i="2" s="1"/>
  <c r="L627" i="1"/>
  <c r="L626" i="1" s="1"/>
  <c r="K627" i="1"/>
  <c r="K626" i="1" s="1"/>
  <c r="J627" i="1"/>
  <c r="J626" i="1" s="1"/>
  <c r="I627" i="1"/>
  <c r="I626" i="1" s="1"/>
  <c r="L623" i="1"/>
  <c r="L622" i="1" s="1"/>
  <c r="K623" i="1"/>
  <c r="K622" i="1" s="1"/>
  <c r="J623" i="1"/>
  <c r="J622" i="1" s="1"/>
  <c r="I623" i="1"/>
  <c r="I622" i="1" s="1"/>
  <c r="L617" i="1"/>
  <c r="K617" i="1"/>
  <c r="J617" i="1"/>
  <c r="I617" i="1"/>
  <c r="L615" i="1"/>
  <c r="K615" i="1"/>
  <c r="J615" i="1"/>
  <c r="I615" i="1"/>
  <c r="K605" i="1"/>
  <c r="K604" i="1" s="1"/>
  <c r="K603" i="1" s="1"/>
  <c r="K602" i="1" s="1"/>
  <c r="K601" i="1" s="1"/>
  <c r="I604" i="1"/>
  <c r="I603" i="1" s="1"/>
  <c r="I602" i="1" s="1"/>
  <c r="I601" i="1" s="1"/>
  <c r="L603" i="1"/>
  <c r="L602" i="1" s="1"/>
  <c r="L601" i="1" s="1"/>
  <c r="J603" i="1"/>
  <c r="J602" i="1" s="1"/>
  <c r="J601" i="1" s="1"/>
  <c r="L600" i="1"/>
  <c r="L599" i="1" s="1"/>
  <c r="L598" i="1" s="1"/>
  <c r="L597" i="1" s="1"/>
  <c r="L596" i="1" s="1"/>
  <c r="K600" i="1"/>
  <c r="K599" i="1" s="1"/>
  <c r="K598" i="1" s="1"/>
  <c r="K597" i="1" s="1"/>
  <c r="K596" i="1" s="1"/>
  <c r="J599" i="1"/>
  <c r="J598" i="1" s="1"/>
  <c r="J597" i="1" s="1"/>
  <c r="J596" i="1" s="1"/>
  <c r="I599" i="1"/>
  <c r="I598" i="1" s="1"/>
  <c r="I597" i="1" s="1"/>
  <c r="I596" i="1" s="1"/>
  <c r="L594" i="1"/>
  <c r="L593" i="1" s="1"/>
  <c r="K594" i="1"/>
  <c r="K593" i="1" s="1"/>
  <c r="J594" i="1"/>
  <c r="J593" i="1" s="1"/>
  <c r="I594" i="1"/>
  <c r="I593" i="1" s="1"/>
  <c r="L591" i="1"/>
  <c r="K591" i="1"/>
  <c r="J591" i="1"/>
  <c r="I591" i="1"/>
  <c r="L587" i="1"/>
  <c r="L586" i="1" s="1"/>
  <c r="L583" i="1" s="1"/>
  <c r="L582" i="1" s="1"/>
  <c r="K587" i="1"/>
  <c r="K586" i="1" s="1"/>
  <c r="J587" i="1"/>
  <c r="J586" i="1" s="1"/>
  <c r="I587" i="1"/>
  <c r="I586" i="1" s="1"/>
  <c r="I583" i="1" s="1"/>
  <c r="I582" i="1" s="1"/>
  <c r="L584" i="1"/>
  <c r="K584" i="1"/>
  <c r="J584" i="1"/>
  <c r="J583" i="1" s="1"/>
  <c r="J582" i="1" s="1"/>
  <c r="I584" i="1"/>
  <c r="L580" i="1"/>
  <c r="L579" i="1" s="1"/>
  <c r="L576" i="1" s="1"/>
  <c r="L575" i="1" s="1"/>
  <c r="K580" i="1"/>
  <c r="K579" i="1" s="1"/>
  <c r="K576" i="1" s="1"/>
  <c r="K575" i="1" s="1"/>
  <c r="J580" i="1"/>
  <c r="J579" i="1" s="1"/>
  <c r="I580" i="1"/>
  <c r="I579" i="1" s="1"/>
  <c r="I576" i="1" s="1"/>
  <c r="I575" i="1" s="1"/>
  <c r="J577" i="1"/>
  <c r="L572" i="1"/>
  <c r="L571" i="1" s="1"/>
  <c r="K572" i="1"/>
  <c r="K571" i="1" s="1"/>
  <c r="J572" i="1"/>
  <c r="J571" i="1" s="1"/>
  <c r="I572" i="1"/>
  <c r="I571" i="1" s="1"/>
  <c r="K570" i="1"/>
  <c r="K569" i="1" s="1"/>
  <c r="L569" i="1"/>
  <c r="J569" i="1"/>
  <c r="I569" i="1"/>
  <c r="L565" i="1"/>
  <c r="L562" i="1" s="1"/>
  <c r="L561" i="1" s="1"/>
  <c r="K565" i="1"/>
  <c r="K562" i="1" s="1"/>
  <c r="K561" i="1" s="1"/>
  <c r="J565" i="1"/>
  <c r="J561" i="1" s="1"/>
  <c r="I565" i="1"/>
  <c r="I562" i="1" s="1"/>
  <c r="I561" i="1" s="1"/>
  <c r="L559" i="1"/>
  <c r="K559" i="1"/>
  <c r="J559" i="1"/>
  <c r="I559" i="1"/>
  <c r="L557" i="1"/>
  <c r="K557" i="1"/>
  <c r="J557" i="1"/>
  <c r="I557" i="1"/>
  <c r="L552" i="1"/>
  <c r="L551" i="1" s="1"/>
  <c r="L550" i="1" s="1"/>
  <c r="K552" i="1"/>
  <c r="K551" i="1" s="1"/>
  <c r="K550" i="1" s="1"/>
  <c r="J552" i="1"/>
  <c r="J551" i="1" s="1"/>
  <c r="J550" i="1" s="1"/>
  <c r="I552" i="1"/>
  <c r="I551" i="1" s="1"/>
  <c r="I550" i="1" s="1"/>
  <c r="K534" i="1"/>
  <c r="K533" i="1" s="1"/>
  <c r="K511" i="1" s="1"/>
  <c r="L508" i="1"/>
  <c r="K508" i="1"/>
  <c r="J508" i="1"/>
  <c r="I508" i="1"/>
  <c r="L502" i="1"/>
  <c r="K502" i="1"/>
  <c r="J502" i="1"/>
  <c r="I502" i="1"/>
  <c r="L500" i="1"/>
  <c r="L499" i="1" s="1"/>
  <c r="K500" i="1"/>
  <c r="K499" i="1" s="1"/>
  <c r="J500" i="1"/>
  <c r="J499" i="1" s="1"/>
  <c r="I500" i="1"/>
  <c r="I499" i="1" s="1"/>
  <c r="L497" i="1"/>
  <c r="L496" i="1" s="1"/>
  <c r="K497" i="1"/>
  <c r="K496" i="1" s="1"/>
  <c r="J497" i="1"/>
  <c r="J496" i="1" s="1"/>
  <c r="I497" i="1"/>
  <c r="I496" i="1" s="1"/>
  <c r="L494" i="1"/>
  <c r="L493" i="1" s="1"/>
  <c r="K494" i="1"/>
  <c r="K493" i="1" s="1"/>
  <c r="J494" i="1"/>
  <c r="J493" i="1" s="1"/>
  <c r="I494" i="1"/>
  <c r="I493" i="1" s="1"/>
  <c r="L489" i="1"/>
  <c r="L488" i="1" s="1"/>
  <c r="K489" i="1"/>
  <c r="K488" i="1" s="1"/>
  <c r="J489" i="1"/>
  <c r="J488" i="1" s="1"/>
  <c r="I489" i="1"/>
  <c r="I488" i="1" s="1"/>
  <c r="L486" i="1"/>
  <c r="L485" i="1" s="1"/>
  <c r="K486" i="1"/>
  <c r="K485" i="1" s="1"/>
  <c r="J486" i="1"/>
  <c r="J485" i="1" s="1"/>
  <c r="I486" i="1"/>
  <c r="I485" i="1" s="1"/>
  <c r="L481" i="1"/>
  <c r="L480" i="1" s="1"/>
  <c r="K481" i="1"/>
  <c r="K480" i="1" s="1"/>
  <c r="J481" i="1"/>
  <c r="J480" i="1" s="1"/>
  <c r="I481" i="1"/>
  <c r="I480" i="1" s="1"/>
  <c r="L478" i="1"/>
  <c r="L477" i="1" s="1"/>
  <c r="K478" i="1"/>
  <c r="K477" i="1" s="1"/>
  <c r="J478" i="1"/>
  <c r="J477" i="1" s="1"/>
  <c r="I478" i="1"/>
  <c r="I477" i="1" s="1"/>
  <c r="L473" i="1"/>
  <c r="L472" i="1" s="1"/>
  <c r="K473" i="1"/>
  <c r="K472" i="1" s="1"/>
  <c r="J473" i="1"/>
  <c r="J472" i="1" s="1"/>
  <c r="I473" i="1"/>
  <c r="I472" i="1" s="1"/>
  <c r="L470" i="1"/>
  <c r="L469" i="1" s="1"/>
  <c r="K470" i="1"/>
  <c r="K469" i="1" s="1"/>
  <c r="J470" i="1"/>
  <c r="J469" i="1" s="1"/>
  <c r="I470" i="1"/>
  <c r="I469" i="1" s="1"/>
  <c r="L465" i="1"/>
  <c r="K465" i="1"/>
  <c r="J465" i="1"/>
  <c r="I465" i="1"/>
  <c r="L463" i="1"/>
  <c r="L462" i="1" s="1"/>
  <c r="K463" i="1"/>
  <c r="K462" i="1" s="1"/>
  <c r="J463" i="1"/>
  <c r="J462" i="1" s="1"/>
  <c r="I463" i="1"/>
  <c r="I462" i="1" s="1"/>
  <c r="L458" i="1"/>
  <c r="K458" i="1"/>
  <c r="J458" i="1"/>
  <c r="I458" i="1"/>
  <c r="L456" i="1"/>
  <c r="L455" i="1" s="1"/>
  <c r="K456" i="1"/>
  <c r="K455" i="1" s="1"/>
  <c r="J456" i="1"/>
  <c r="J455" i="1" s="1"/>
  <c r="I456" i="1"/>
  <c r="I455" i="1" s="1"/>
  <c r="J454" i="1"/>
  <c r="L450" i="1"/>
  <c r="K450" i="1"/>
  <c r="I450" i="1"/>
  <c r="L448" i="1"/>
  <c r="L447" i="1" s="1"/>
  <c r="K448" i="1"/>
  <c r="K447" i="1" s="1"/>
  <c r="J448" i="1"/>
  <c r="J447" i="1" s="1"/>
  <c r="I448" i="1"/>
  <c r="I447" i="1" s="1"/>
  <c r="L444" i="1"/>
  <c r="L443" i="1" s="1"/>
  <c r="K444" i="1"/>
  <c r="K443" i="1" s="1"/>
  <c r="J444" i="1"/>
  <c r="J443" i="1" s="1"/>
  <c r="I444" i="1"/>
  <c r="I443" i="1" s="1"/>
  <c r="L441" i="1"/>
  <c r="L440" i="1" s="1"/>
  <c r="K441" i="1"/>
  <c r="K440" i="1" s="1"/>
  <c r="J441" i="1"/>
  <c r="J440" i="1" s="1"/>
  <c r="I441" i="1"/>
  <c r="I440" i="1" s="1"/>
  <c r="L436" i="1"/>
  <c r="K436" i="1"/>
  <c r="J436" i="1"/>
  <c r="I436" i="1"/>
  <c r="L434" i="1"/>
  <c r="L433" i="1" s="1"/>
  <c r="K434" i="1"/>
  <c r="K433" i="1" s="1"/>
  <c r="J434" i="1"/>
  <c r="J433" i="1" s="1"/>
  <c r="I434" i="1"/>
  <c r="I433" i="1" s="1"/>
  <c r="L430" i="1"/>
  <c r="L429" i="1" s="1"/>
  <c r="K430" i="1"/>
  <c r="K429" i="1" s="1"/>
  <c r="J430" i="1"/>
  <c r="J429" i="1" s="1"/>
  <c r="I430" i="1"/>
  <c r="I429" i="1" s="1"/>
  <c r="L427" i="1"/>
  <c r="L426" i="1" s="1"/>
  <c r="K427" i="1"/>
  <c r="K426" i="1" s="1"/>
  <c r="J427" i="1"/>
  <c r="J426" i="1" s="1"/>
  <c r="I427" i="1"/>
  <c r="I426" i="1" s="1"/>
  <c r="L422" i="1"/>
  <c r="K422" i="1"/>
  <c r="J422" i="1"/>
  <c r="I422" i="1"/>
  <c r="L420" i="1"/>
  <c r="L419" i="1" s="1"/>
  <c r="K420" i="1"/>
  <c r="K419" i="1" s="1"/>
  <c r="J420" i="1"/>
  <c r="J419" i="1" s="1"/>
  <c r="I420" i="1"/>
  <c r="I419" i="1" s="1"/>
  <c r="L416" i="1"/>
  <c r="L415" i="1" s="1"/>
  <c r="K416" i="1"/>
  <c r="K415" i="1" s="1"/>
  <c r="J416" i="1"/>
  <c r="J415" i="1" s="1"/>
  <c r="I416" i="1"/>
  <c r="I415" i="1" s="1"/>
  <c r="L413" i="1"/>
  <c r="L412" i="1" s="1"/>
  <c r="K413" i="1"/>
  <c r="K412" i="1" s="1"/>
  <c r="J413" i="1"/>
  <c r="J412" i="1" s="1"/>
  <c r="I413" i="1"/>
  <c r="I412" i="1" s="1"/>
  <c r="L410" i="1"/>
  <c r="L409" i="1" s="1"/>
  <c r="K410" i="1"/>
  <c r="K409" i="1" s="1"/>
  <c r="J410" i="1"/>
  <c r="J409" i="1" s="1"/>
  <c r="I410" i="1"/>
  <c r="I409" i="1" s="1"/>
  <c r="L407" i="1"/>
  <c r="L406" i="1" s="1"/>
  <c r="K407" i="1"/>
  <c r="K406" i="1" s="1"/>
  <c r="J407" i="1"/>
  <c r="J406" i="1" s="1"/>
  <c r="I407" i="1"/>
  <c r="I406" i="1" s="1"/>
  <c r="K404" i="1"/>
  <c r="K402" i="1" s="1"/>
  <c r="K401" i="1" s="1"/>
  <c r="L402" i="1"/>
  <c r="L401" i="1" s="1"/>
  <c r="J402" i="1"/>
  <c r="J401" i="1" s="1"/>
  <c r="I402" i="1"/>
  <c r="I401" i="1" s="1"/>
  <c r="L397" i="1"/>
  <c r="L396" i="1" s="1"/>
  <c r="K397" i="1"/>
  <c r="K396" i="1" s="1"/>
  <c r="J397" i="1"/>
  <c r="J396" i="1" s="1"/>
  <c r="I397" i="1"/>
  <c r="I396" i="1" s="1"/>
  <c r="L394" i="1"/>
  <c r="L393" i="1" s="1"/>
  <c r="K394" i="1"/>
  <c r="K393" i="1" s="1"/>
  <c r="J394" i="1"/>
  <c r="J393" i="1" s="1"/>
  <c r="I394" i="1"/>
  <c r="I393" i="1" s="1"/>
  <c r="L389" i="1"/>
  <c r="K389" i="1"/>
  <c r="J389" i="1"/>
  <c r="I389" i="1"/>
  <c r="L387" i="1"/>
  <c r="L386" i="1" s="1"/>
  <c r="K387" i="1"/>
  <c r="K386" i="1" s="1"/>
  <c r="J387" i="1"/>
  <c r="J386" i="1" s="1"/>
  <c r="I387" i="1"/>
  <c r="I386" i="1" s="1"/>
  <c r="L382" i="1"/>
  <c r="K382" i="1"/>
  <c r="J382" i="1"/>
  <c r="I382" i="1"/>
  <c r="L380" i="1"/>
  <c r="L379" i="1" s="1"/>
  <c r="K380" i="1"/>
  <c r="K379" i="1" s="1"/>
  <c r="J380" i="1"/>
  <c r="J379" i="1" s="1"/>
  <c r="I380" i="1"/>
  <c r="I379" i="1" s="1"/>
  <c r="L376" i="1"/>
  <c r="L375" i="1" s="1"/>
  <c r="L374" i="1" s="1"/>
  <c r="K376" i="1"/>
  <c r="K375" i="1" s="1"/>
  <c r="K374" i="1" s="1"/>
  <c r="J376" i="1"/>
  <c r="J375" i="1" s="1"/>
  <c r="J374" i="1" s="1"/>
  <c r="I376" i="1"/>
  <c r="I375" i="1" s="1"/>
  <c r="I374" i="1" s="1"/>
  <c r="L372" i="1"/>
  <c r="L371" i="1" s="1"/>
  <c r="L370" i="1" s="1"/>
  <c r="K372" i="1"/>
  <c r="K371" i="1" s="1"/>
  <c r="K370" i="1" s="1"/>
  <c r="J372" i="1"/>
  <c r="J371" i="1" s="1"/>
  <c r="J370" i="1" s="1"/>
  <c r="I372" i="1"/>
  <c r="I371" i="1" s="1"/>
  <c r="I370" i="1" s="1"/>
  <c r="L368" i="1"/>
  <c r="L367" i="1" s="1"/>
  <c r="L366" i="1" s="1"/>
  <c r="K368" i="1"/>
  <c r="K367" i="1" s="1"/>
  <c r="K366" i="1" s="1"/>
  <c r="J368" i="1"/>
  <c r="J367" i="1" s="1"/>
  <c r="J366" i="1" s="1"/>
  <c r="I368" i="1"/>
  <c r="I367" i="1" s="1"/>
  <c r="I366" i="1" s="1"/>
  <c r="L364" i="1"/>
  <c r="L363" i="1" s="1"/>
  <c r="L362" i="1" s="1"/>
  <c r="K364" i="1"/>
  <c r="K363" i="1" s="1"/>
  <c r="K362" i="1" s="1"/>
  <c r="J364" i="1"/>
  <c r="J363" i="1" s="1"/>
  <c r="J362" i="1" s="1"/>
  <c r="I364" i="1"/>
  <c r="I363" i="1" s="1"/>
  <c r="I362" i="1" s="1"/>
  <c r="L360" i="1"/>
  <c r="L359" i="1" s="1"/>
  <c r="L358" i="1" s="1"/>
  <c r="K360" i="1"/>
  <c r="K359" i="1" s="1"/>
  <c r="K358" i="1" s="1"/>
  <c r="J360" i="1"/>
  <c r="J359" i="1" s="1"/>
  <c r="J358" i="1" s="1"/>
  <c r="I360" i="1"/>
  <c r="I359" i="1" s="1"/>
  <c r="I358" i="1" s="1"/>
  <c r="L356" i="1"/>
  <c r="L355" i="1" s="1"/>
  <c r="L354" i="1" s="1"/>
  <c r="K356" i="1"/>
  <c r="K355" i="1" s="1"/>
  <c r="K354" i="1" s="1"/>
  <c r="J356" i="1"/>
  <c r="J355" i="1" s="1"/>
  <c r="J354" i="1" s="1"/>
  <c r="I356" i="1"/>
  <c r="I355" i="1" s="1"/>
  <c r="I354" i="1" s="1"/>
  <c r="L352" i="1"/>
  <c r="L351" i="1" s="1"/>
  <c r="L350" i="1" s="1"/>
  <c r="K352" i="1"/>
  <c r="K351" i="1" s="1"/>
  <c r="K350" i="1" s="1"/>
  <c r="J352" i="1"/>
  <c r="J351" i="1" s="1"/>
  <c r="J350" i="1" s="1"/>
  <c r="I352" i="1"/>
  <c r="I351" i="1" s="1"/>
  <c r="I350" i="1" s="1"/>
  <c r="L348" i="1"/>
  <c r="L347" i="1" s="1"/>
  <c r="L346" i="1" s="1"/>
  <c r="K348" i="1"/>
  <c r="K347" i="1" s="1"/>
  <c r="K346" i="1" s="1"/>
  <c r="J348" i="1"/>
  <c r="J347" i="1" s="1"/>
  <c r="J346" i="1" s="1"/>
  <c r="I348" i="1"/>
  <c r="I347" i="1" s="1"/>
  <c r="I346" i="1" s="1"/>
  <c r="L344" i="1"/>
  <c r="L343" i="1" s="1"/>
  <c r="L342" i="1" s="1"/>
  <c r="K344" i="1"/>
  <c r="K343" i="1" s="1"/>
  <c r="K342" i="1" s="1"/>
  <c r="J344" i="1"/>
  <c r="J343" i="1" s="1"/>
  <c r="J342" i="1" s="1"/>
  <c r="I344" i="1"/>
  <c r="I343" i="1" s="1"/>
  <c r="I342" i="1" s="1"/>
  <c r="L340" i="1"/>
  <c r="L339" i="1" s="1"/>
  <c r="L338" i="1" s="1"/>
  <c r="K340" i="1"/>
  <c r="K339" i="1" s="1"/>
  <c r="K338" i="1" s="1"/>
  <c r="J340" i="1"/>
  <c r="J339" i="1" s="1"/>
  <c r="J338" i="1" s="1"/>
  <c r="I340" i="1"/>
  <c r="I339" i="1" s="1"/>
  <c r="I338" i="1" s="1"/>
  <c r="L336" i="1"/>
  <c r="L335" i="1" s="1"/>
  <c r="L334" i="1" s="1"/>
  <c r="K336" i="1"/>
  <c r="K335" i="1" s="1"/>
  <c r="K334" i="1" s="1"/>
  <c r="J336" i="1"/>
  <c r="J335" i="1" s="1"/>
  <c r="J334" i="1" s="1"/>
  <c r="I336" i="1"/>
  <c r="I335" i="1" s="1"/>
  <c r="I334" i="1" s="1"/>
  <c r="L332" i="1"/>
  <c r="L331" i="1" s="1"/>
  <c r="L330" i="1" s="1"/>
  <c r="K332" i="1"/>
  <c r="K331" i="1" s="1"/>
  <c r="K330" i="1" s="1"/>
  <c r="J332" i="1"/>
  <c r="J331" i="1" s="1"/>
  <c r="J330" i="1" s="1"/>
  <c r="I332" i="1"/>
  <c r="I331" i="1" s="1"/>
  <c r="I330" i="1" s="1"/>
  <c r="L328" i="1"/>
  <c r="L327" i="1" s="1"/>
  <c r="L326" i="1" s="1"/>
  <c r="K328" i="1"/>
  <c r="K327" i="1" s="1"/>
  <c r="K326" i="1" s="1"/>
  <c r="J328" i="1"/>
  <c r="J327" i="1" s="1"/>
  <c r="J326" i="1" s="1"/>
  <c r="I328" i="1"/>
  <c r="I327" i="1" s="1"/>
  <c r="I326" i="1" s="1"/>
  <c r="L324" i="1"/>
  <c r="L323" i="1" s="1"/>
  <c r="L322" i="1" s="1"/>
  <c r="K324" i="1"/>
  <c r="K323" i="1" s="1"/>
  <c r="K322" i="1" s="1"/>
  <c r="J324" i="1"/>
  <c r="J323" i="1" s="1"/>
  <c r="J322" i="1" s="1"/>
  <c r="I324" i="1"/>
  <c r="I323" i="1" s="1"/>
  <c r="I322" i="1" s="1"/>
  <c r="L320" i="1"/>
  <c r="L319" i="1" s="1"/>
  <c r="L318" i="1" s="1"/>
  <c r="K320" i="1"/>
  <c r="K319" i="1" s="1"/>
  <c r="K318" i="1" s="1"/>
  <c r="J320" i="1"/>
  <c r="J319" i="1" s="1"/>
  <c r="J318" i="1" s="1"/>
  <c r="I320" i="1"/>
  <c r="I319" i="1" s="1"/>
  <c r="I318" i="1" s="1"/>
  <c r="L316" i="1"/>
  <c r="L315" i="1" s="1"/>
  <c r="L314" i="1" s="1"/>
  <c r="K316" i="1"/>
  <c r="K315" i="1" s="1"/>
  <c r="K314" i="1" s="1"/>
  <c r="J316" i="1"/>
  <c r="J315" i="1" s="1"/>
  <c r="J314" i="1" s="1"/>
  <c r="I316" i="1"/>
  <c r="I315" i="1" s="1"/>
  <c r="I314" i="1" s="1"/>
  <c r="L312" i="1"/>
  <c r="L311" i="1" s="1"/>
  <c r="L310" i="1" s="1"/>
  <c r="K312" i="1"/>
  <c r="K311" i="1" s="1"/>
  <c r="K310" i="1" s="1"/>
  <c r="J312" i="1"/>
  <c r="J311" i="1" s="1"/>
  <c r="J310" i="1" s="1"/>
  <c r="I312" i="1"/>
  <c r="I311" i="1" s="1"/>
  <c r="I310" i="1" s="1"/>
  <c r="L308" i="1"/>
  <c r="L307" i="1" s="1"/>
  <c r="L306" i="1" s="1"/>
  <c r="K308" i="1"/>
  <c r="K307" i="1" s="1"/>
  <c r="K306" i="1" s="1"/>
  <c r="J308" i="1"/>
  <c r="J307" i="1" s="1"/>
  <c r="J306" i="1" s="1"/>
  <c r="I308" i="1"/>
  <c r="I307" i="1" s="1"/>
  <c r="I306" i="1" s="1"/>
  <c r="L304" i="1"/>
  <c r="L303" i="1" s="1"/>
  <c r="L302" i="1" s="1"/>
  <c r="K304" i="1"/>
  <c r="K303" i="1" s="1"/>
  <c r="K302" i="1" s="1"/>
  <c r="J304" i="1"/>
  <c r="J303" i="1" s="1"/>
  <c r="J302" i="1" s="1"/>
  <c r="I304" i="1"/>
  <c r="I303" i="1" s="1"/>
  <c r="I302" i="1" s="1"/>
  <c r="L300" i="1"/>
  <c r="L299" i="1" s="1"/>
  <c r="L298" i="1" s="1"/>
  <c r="K300" i="1"/>
  <c r="K299" i="1" s="1"/>
  <c r="K298" i="1" s="1"/>
  <c r="J300" i="1"/>
  <c r="J299" i="1" s="1"/>
  <c r="J298" i="1" s="1"/>
  <c r="I300" i="1"/>
  <c r="I299" i="1" s="1"/>
  <c r="I298" i="1" s="1"/>
  <c r="L296" i="1"/>
  <c r="L295" i="1" s="1"/>
  <c r="L294" i="1" s="1"/>
  <c r="K296" i="1"/>
  <c r="K295" i="1" s="1"/>
  <c r="K294" i="1" s="1"/>
  <c r="J296" i="1"/>
  <c r="J295" i="1" s="1"/>
  <c r="J294" i="1" s="1"/>
  <c r="I296" i="1"/>
  <c r="I295" i="1" s="1"/>
  <c r="I294" i="1" s="1"/>
  <c r="L292" i="1"/>
  <c r="L291" i="1" s="1"/>
  <c r="L290" i="1" s="1"/>
  <c r="K292" i="1"/>
  <c r="K291" i="1" s="1"/>
  <c r="K290" i="1" s="1"/>
  <c r="J292" i="1"/>
  <c r="J291" i="1" s="1"/>
  <c r="J290" i="1" s="1"/>
  <c r="I292" i="1"/>
  <c r="I291" i="1" s="1"/>
  <c r="I290" i="1" s="1"/>
  <c r="L288" i="1"/>
  <c r="L287" i="1" s="1"/>
  <c r="L286" i="1" s="1"/>
  <c r="K288" i="1"/>
  <c r="K287" i="1" s="1"/>
  <c r="K286" i="1" s="1"/>
  <c r="J288" i="1"/>
  <c r="J287" i="1" s="1"/>
  <c r="J286" i="1" s="1"/>
  <c r="I288" i="1"/>
  <c r="I287" i="1" s="1"/>
  <c r="I286" i="1" s="1"/>
  <c r="L281" i="1"/>
  <c r="K281" i="1"/>
  <c r="J281" i="1"/>
  <c r="I281" i="1"/>
  <c r="L279" i="1"/>
  <c r="L278" i="1" s="1"/>
  <c r="K279" i="1"/>
  <c r="K278" i="1" s="1"/>
  <c r="J279" i="1"/>
  <c r="J278" i="1" s="1"/>
  <c r="I279" i="1"/>
  <c r="I278" i="1" s="1"/>
  <c r="K274" i="1"/>
  <c r="K273" i="1" s="1"/>
  <c r="K272" i="1" s="1"/>
  <c r="L273" i="1"/>
  <c r="L272" i="1" s="1"/>
  <c r="J273" i="1"/>
  <c r="J272" i="1" s="1"/>
  <c r="I273" i="1"/>
  <c r="I272" i="1" s="1"/>
  <c r="L270" i="1"/>
  <c r="L269" i="1" s="1"/>
  <c r="K270" i="1"/>
  <c r="K269" i="1" s="1"/>
  <c r="J270" i="1"/>
  <c r="J269" i="1" s="1"/>
  <c r="I270" i="1"/>
  <c r="I269" i="1" s="1"/>
  <c r="L267" i="1"/>
  <c r="L266" i="1" s="1"/>
  <c r="L265" i="1" s="1"/>
  <c r="K267" i="1"/>
  <c r="K266" i="1" s="1"/>
  <c r="J267" i="1"/>
  <c r="J266" i="1" s="1"/>
  <c r="J265" i="1" s="1"/>
  <c r="I267" i="1"/>
  <c r="I266" i="1" s="1"/>
  <c r="I265" i="1" s="1"/>
  <c r="L263" i="1"/>
  <c r="L262" i="1" s="1"/>
  <c r="L261" i="1" s="1"/>
  <c r="K263" i="1"/>
  <c r="K262" i="1" s="1"/>
  <c r="K261" i="1" s="1"/>
  <c r="J263" i="1"/>
  <c r="J262" i="1" s="1"/>
  <c r="J261" i="1" s="1"/>
  <c r="I263" i="1"/>
  <c r="I262" i="1" s="1"/>
  <c r="I261" i="1" s="1"/>
  <c r="L258" i="1"/>
  <c r="L257" i="1" s="1"/>
  <c r="K258" i="1"/>
  <c r="K257" i="1" s="1"/>
  <c r="J258" i="1"/>
  <c r="J257" i="1" s="1"/>
  <c r="I258" i="1"/>
  <c r="I257" i="1" s="1"/>
  <c r="L255" i="1"/>
  <c r="L254" i="1" s="1"/>
  <c r="L253" i="1" s="1"/>
  <c r="K255" i="1"/>
  <c r="K254" i="1" s="1"/>
  <c r="K253" i="1" s="1"/>
  <c r="J255" i="1"/>
  <c r="J254" i="1" s="1"/>
  <c r="J253" i="1" s="1"/>
  <c r="I255" i="1"/>
  <c r="I254" i="1" s="1"/>
  <c r="I253" i="1" s="1"/>
  <c r="L250" i="1"/>
  <c r="L249" i="1" s="1"/>
  <c r="K250" i="1"/>
  <c r="K249" i="1" s="1"/>
  <c r="J250" i="1"/>
  <c r="J249" i="1" s="1"/>
  <c r="I250" i="1"/>
  <c r="I249" i="1" s="1"/>
  <c r="L246" i="1"/>
  <c r="L245" i="1" s="1"/>
  <c r="K246" i="1"/>
  <c r="K245" i="1" s="1"/>
  <c r="J246" i="1"/>
  <c r="J245" i="1" s="1"/>
  <c r="I246" i="1"/>
  <c r="I245" i="1" s="1"/>
  <c r="L242" i="1"/>
  <c r="L241" i="1" s="1"/>
  <c r="K242" i="1"/>
  <c r="K241" i="1" s="1"/>
  <c r="J242" i="1"/>
  <c r="J241" i="1" s="1"/>
  <c r="I242" i="1"/>
  <c r="I241" i="1" s="1"/>
  <c r="L238" i="1"/>
  <c r="L237" i="1" s="1"/>
  <c r="K238" i="1"/>
  <c r="K237" i="1" s="1"/>
  <c r="J238" i="1"/>
  <c r="J237" i="1" s="1"/>
  <c r="I238" i="1"/>
  <c r="I237" i="1" s="1"/>
  <c r="L233" i="1"/>
  <c r="L232" i="1" s="1"/>
  <c r="K233" i="1"/>
  <c r="K232" i="1" s="1"/>
  <c r="J233" i="1"/>
  <c r="J232" i="1" s="1"/>
  <c r="I233" i="1"/>
  <c r="I232" i="1" s="1"/>
  <c r="L229" i="1"/>
  <c r="L228" i="1" s="1"/>
  <c r="K229" i="1"/>
  <c r="K228" i="1" s="1"/>
  <c r="J229" i="1"/>
  <c r="J228" i="1" s="1"/>
  <c r="I229" i="1"/>
  <c r="I228" i="1" s="1"/>
  <c r="L225" i="1"/>
  <c r="L224" i="1" s="1"/>
  <c r="K225" i="1"/>
  <c r="K224" i="1" s="1"/>
  <c r="J225" i="1"/>
  <c r="J224" i="1" s="1"/>
  <c r="I225" i="1"/>
  <c r="I224" i="1" s="1"/>
  <c r="L221" i="1"/>
  <c r="L220" i="1" s="1"/>
  <c r="K221" i="1"/>
  <c r="K220" i="1" s="1"/>
  <c r="J221" i="1"/>
  <c r="J220" i="1" s="1"/>
  <c r="I221" i="1"/>
  <c r="I220" i="1" s="1"/>
  <c r="L217" i="1"/>
  <c r="L216" i="1" s="1"/>
  <c r="K217" i="1"/>
  <c r="K216" i="1" s="1"/>
  <c r="J217" i="1"/>
  <c r="J216" i="1" s="1"/>
  <c r="I217" i="1"/>
  <c r="I216" i="1" s="1"/>
  <c r="L213" i="1"/>
  <c r="L212" i="1" s="1"/>
  <c r="K213" i="1"/>
  <c r="K212" i="1" s="1"/>
  <c r="J213" i="1"/>
  <c r="J212" i="1" s="1"/>
  <c r="I213" i="1"/>
  <c r="I212" i="1" s="1"/>
  <c r="L209" i="1"/>
  <c r="L208" i="1" s="1"/>
  <c r="K209" i="1"/>
  <c r="K208" i="1" s="1"/>
  <c r="J209" i="1"/>
  <c r="J208" i="1" s="1"/>
  <c r="I209" i="1"/>
  <c r="I208" i="1" s="1"/>
  <c r="L205" i="1"/>
  <c r="L204" i="1" s="1"/>
  <c r="K205" i="1"/>
  <c r="K204" i="1" s="1"/>
  <c r="J205" i="1"/>
  <c r="J204" i="1" s="1"/>
  <c r="I205" i="1"/>
  <c r="I204" i="1" s="1"/>
  <c r="L201" i="1"/>
  <c r="L200" i="1" s="1"/>
  <c r="K201" i="1"/>
  <c r="K200" i="1" s="1"/>
  <c r="J201" i="1"/>
  <c r="J200" i="1" s="1"/>
  <c r="I201" i="1"/>
  <c r="I200" i="1" s="1"/>
  <c r="L198" i="1"/>
  <c r="L197" i="1" s="1"/>
  <c r="K198" i="1"/>
  <c r="K197" i="1" s="1"/>
  <c r="J198" i="1"/>
  <c r="J197" i="1" s="1"/>
  <c r="I198" i="1"/>
  <c r="I197" i="1" s="1"/>
  <c r="L195" i="1"/>
  <c r="L194" i="1" s="1"/>
  <c r="K195" i="1"/>
  <c r="K194" i="1" s="1"/>
  <c r="J195" i="1"/>
  <c r="J194" i="1" s="1"/>
  <c r="I195" i="1"/>
  <c r="I194" i="1" s="1"/>
  <c r="L190" i="1"/>
  <c r="L189" i="1" s="1"/>
  <c r="K190" i="1"/>
  <c r="K189" i="1" s="1"/>
  <c r="J190" i="1"/>
  <c r="J189" i="1" s="1"/>
  <c r="I190" i="1"/>
  <c r="I189" i="1" s="1"/>
  <c r="K188" i="1"/>
  <c r="K187" i="1" s="1"/>
  <c r="K186" i="1" s="1"/>
  <c r="K185" i="1" s="1"/>
  <c r="L187" i="1"/>
  <c r="L186" i="1" s="1"/>
  <c r="J187" i="1"/>
  <c r="J186" i="1" s="1"/>
  <c r="J185" i="1" s="1"/>
  <c r="I187" i="1"/>
  <c r="I186" i="1" s="1"/>
  <c r="I185" i="1" s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6" i="1"/>
  <c r="L175" i="1" s="1"/>
  <c r="K176" i="1"/>
  <c r="K175" i="1" s="1"/>
  <c r="J176" i="1"/>
  <c r="J175" i="1" s="1"/>
  <c r="I176" i="1"/>
  <c r="I175" i="1" s="1"/>
  <c r="L172" i="1"/>
  <c r="L171" i="1" s="1"/>
  <c r="K172" i="1"/>
  <c r="K171" i="1" s="1"/>
  <c r="J172" i="1"/>
  <c r="J171" i="1" s="1"/>
  <c r="I172" i="1"/>
  <c r="I171" i="1" s="1"/>
  <c r="L168" i="1"/>
  <c r="L167" i="1" s="1"/>
  <c r="K168" i="1"/>
  <c r="K167" i="1" s="1"/>
  <c r="J168" i="1"/>
  <c r="J167" i="1" s="1"/>
  <c r="I168" i="1"/>
  <c r="I167" i="1" s="1"/>
  <c r="L165" i="1"/>
  <c r="L164" i="1" s="1"/>
  <c r="K165" i="1"/>
  <c r="K164" i="1" s="1"/>
  <c r="J165" i="1"/>
  <c r="J164" i="1" s="1"/>
  <c r="I165" i="1"/>
  <c r="I164" i="1" s="1"/>
  <c r="L161" i="1"/>
  <c r="L160" i="1" s="1"/>
  <c r="L159" i="1" s="1"/>
  <c r="K161" i="1"/>
  <c r="K160" i="1" s="1"/>
  <c r="K159" i="1" s="1"/>
  <c r="J161" i="1"/>
  <c r="J160" i="1" s="1"/>
  <c r="J159" i="1" s="1"/>
  <c r="I161" i="1"/>
  <c r="I160" i="1" s="1"/>
  <c r="I159" i="1" s="1"/>
  <c r="L157" i="1"/>
  <c r="L156" i="1" s="1"/>
  <c r="K157" i="1"/>
  <c r="K156" i="1" s="1"/>
  <c r="J157" i="1"/>
  <c r="J156" i="1" s="1"/>
  <c r="I157" i="1"/>
  <c r="I156" i="1" s="1"/>
  <c r="L151" i="1"/>
  <c r="L150" i="1" s="1"/>
  <c r="K151" i="1"/>
  <c r="K150" i="1" s="1"/>
  <c r="J151" i="1"/>
  <c r="J150" i="1" s="1"/>
  <c r="I151" i="1"/>
  <c r="I150" i="1" s="1"/>
  <c r="L147" i="1"/>
  <c r="L146" i="1" s="1"/>
  <c r="K147" i="1"/>
  <c r="K146" i="1" s="1"/>
  <c r="J147" i="1"/>
  <c r="J146" i="1" s="1"/>
  <c r="I147" i="1"/>
  <c r="I146" i="1" s="1"/>
  <c r="L143" i="1"/>
  <c r="L142" i="1" s="1"/>
  <c r="K143" i="1"/>
  <c r="K142" i="1" s="1"/>
  <c r="J143" i="1"/>
  <c r="J142" i="1" s="1"/>
  <c r="I143" i="1"/>
  <c r="I142" i="1" s="1"/>
  <c r="L139" i="1"/>
  <c r="L138" i="1" s="1"/>
  <c r="K139" i="1"/>
  <c r="K138" i="1" s="1"/>
  <c r="J139" i="1"/>
  <c r="J138" i="1" s="1"/>
  <c r="I139" i="1"/>
  <c r="I138" i="1" s="1"/>
  <c r="L136" i="1"/>
  <c r="L135" i="1" s="1"/>
  <c r="K136" i="1"/>
  <c r="K135" i="1" s="1"/>
  <c r="J136" i="1"/>
  <c r="J135" i="1" s="1"/>
  <c r="I136" i="1"/>
  <c r="I135" i="1" s="1"/>
  <c r="L132" i="1"/>
  <c r="L131" i="1" s="1"/>
  <c r="L130" i="1" s="1"/>
  <c r="K132" i="1"/>
  <c r="K131" i="1" s="1"/>
  <c r="K130" i="1" s="1"/>
  <c r="J132" i="1"/>
  <c r="J131" i="1" s="1"/>
  <c r="J130" i="1" s="1"/>
  <c r="I132" i="1"/>
  <c r="I131" i="1" s="1"/>
  <c r="I130" i="1" s="1"/>
  <c r="L128" i="1"/>
  <c r="L127" i="1" s="1"/>
  <c r="L126" i="1" s="1"/>
  <c r="K128" i="1"/>
  <c r="K127" i="1" s="1"/>
  <c r="K126" i="1" s="1"/>
  <c r="J128" i="1"/>
  <c r="J127" i="1" s="1"/>
  <c r="J126" i="1" s="1"/>
  <c r="I128" i="1"/>
  <c r="I127" i="1" s="1"/>
  <c r="I126" i="1" s="1"/>
  <c r="L124" i="1"/>
  <c r="L123" i="1" s="1"/>
  <c r="K124" i="1"/>
  <c r="K123" i="1" s="1"/>
  <c r="J124" i="1"/>
  <c r="J123" i="1" s="1"/>
  <c r="I124" i="1"/>
  <c r="I123" i="1" s="1"/>
  <c r="L118" i="1"/>
  <c r="L117" i="1" s="1"/>
  <c r="K118" i="1"/>
  <c r="K117" i="1" s="1"/>
  <c r="J118" i="1"/>
  <c r="J117" i="1" s="1"/>
  <c r="I118" i="1"/>
  <c r="I117" i="1" s="1"/>
  <c r="L114" i="1"/>
  <c r="L113" i="1" s="1"/>
  <c r="L112" i="1" s="1"/>
  <c r="K114" i="1"/>
  <c r="K113" i="1" s="1"/>
  <c r="K112" i="1" s="1"/>
  <c r="J114" i="1"/>
  <c r="J113" i="1" s="1"/>
  <c r="J112" i="1" s="1"/>
  <c r="I114" i="1"/>
  <c r="I113" i="1" s="1"/>
  <c r="I112" i="1" s="1"/>
  <c r="L107" i="1"/>
  <c r="L106" i="1" s="1"/>
  <c r="K107" i="1"/>
  <c r="K106" i="1" s="1"/>
  <c r="J107" i="1"/>
  <c r="J106" i="1" s="1"/>
  <c r="I107" i="1"/>
  <c r="I106" i="1" s="1"/>
  <c r="L110" i="1"/>
  <c r="L109" i="1" s="1"/>
  <c r="K110" i="1"/>
  <c r="K109" i="1" s="1"/>
  <c r="J110" i="1"/>
  <c r="J109" i="1" s="1"/>
  <c r="I110" i="1"/>
  <c r="I109" i="1" s="1"/>
  <c r="L103" i="1"/>
  <c r="L102" i="1" s="1"/>
  <c r="L101" i="1" s="1"/>
  <c r="K103" i="1"/>
  <c r="K102" i="1" s="1"/>
  <c r="K101" i="1" s="1"/>
  <c r="J103" i="1"/>
  <c r="J102" i="1" s="1"/>
  <c r="J101" i="1" s="1"/>
  <c r="I103" i="1"/>
  <c r="I102" i="1" s="1"/>
  <c r="I101" i="1" s="1"/>
  <c r="L99" i="1"/>
  <c r="L98" i="1" s="1"/>
  <c r="K99" i="1"/>
  <c r="K98" i="1" s="1"/>
  <c r="J99" i="1"/>
  <c r="J98" i="1" s="1"/>
  <c r="I99" i="1"/>
  <c r="I98" i="1" s="1"/>
  <c r="L96" i="1"/>
  <c r="L95" i="1" s="1"/>
  <c r="L94" i="1" s="1"/>
  <c r="K96" i="1"/>
  <c r="K95" i="1" s="1"/>
  <c r="K94" i="1" s="1"/>
  <c r="J96" i="1"/>
  <c r="J95" i="1" s="1"/>
  <c r="J94" i="1" s="1"/>
  <c r="I96" i="1"/>
  <c r="I95" i="1" s="1"/>
  <c r="I94" i="1" s="1"/>
  <c r="L92" i="1"/>
  <c r="L91" i="1" s="1"/>
  <c r="L90" i="1" s="1"/>
  <c r="K92" i="1"/>
  <c r="K91" i="1" s="1"/>
  <c r="K90" i="1" s="1"/>
  <c r="J92" i="1"/>
  <c r="J91" i="1" s="1"/>
  <c r="J90" i="1" s="1"/>
  <c r="I92" i="1"/>
  <c r="I91" i="1" s="1"/>
  <c r="I90" i="1" s="1"/>
  <c r="L85" i="1"/>
  <c r="L84" i="1" s="1"/>
  <c r="K85" i="1"/>
  <c r="K84" i="1" s="1"/>
  <c r="J85" i="1"/>
  <c r="J84" i="1" s="1"/>
  <c r="I85" i="1"/>
  <c r="I84" i="1" s="1"/>
  <c r="L88" i="1"/>
  <c r="L87" i="1" s="1"/>
  <c r="K88" i="1"/>
  <c r="K87" i="1" s="1"/>
  <c r="J88" i="1"/>
  <c r="J87" i="1" s="1"/>
  <c r="I88" i="1"/>
  <c r="I87" i="1" s="1"/>
  <c r="L81" i="1"/>
  <c r="L80" i="1" s="1"/>
  <c r="L79" i="1" s="1"/>
  <c r="K81" i="1"/>
  <c r="K80" i="1" s="1"/>
  <c r="K79" i="1" s="1"/>
  <c r="J81" i="1"/>
  <c r="J80" i="1" s="1"/>
  <c r="J79" i="1" s="1"/>
  <c r="I81" i="1"/>
  <c r="I80" i="1" s="1"/>
  <c r="I79" i="1" s="1"/>
  <c r="L77" i="1"/>
  <c r="L76" i="1" s="1"/>
  <c r="L75" i="1" s="1"/>
  <c r="K77" i="1"/>
  <c r="K76" i="1" s="1"/>
  <c r="K75" i="1" s="1"/>
  <c r="J77" i="1"/>
  <c r="J76" i="1" s="1"/>
  <c r="J75" i="1" s="1"/>
  <c r="I77" i="1"/>
  <c r="I76" i="1" s="1"/>
  <c r="I75" i="1" s="1"/>
  <c r="L70" i="1"/>
  <c r="K70" i="1"/>
  <c r="J70" i="1"/>
  <c r="I70" i="1"/>
  <c r="L68" i="1"/>
  <c r="L67" i="1" s="1"/>
  <c r="K68" i="1"/>
  <c r="K67" i="1" s="1"/>
  <c r="J68" i="1"/>
  <c r="J67" i="1" s="1"/>
  <c r="I68" i="1"/>
  <c r="I67" i="1" s="1"/>
  <c r="L65" i="1"/>
  <c r="L64" i="1" s="1"/>
  <c r="K65" i="1"/>
  <c r="K64" i="1" s="1"/>
  <c r="J65" i="1"/>
  <c r="J64" i="1" s="1"/>
  <c r="I65" i="1"/>
  <c r="I64" i="1" s="1"/>
  <c r="L60" i="1"/>
  <c r="L59" i="1" s="1"/>
  <c r="L58" i="1" s="1"/>
  <c r="K60" i="1"/>
  <c r="K59" i="1" s="1"/>
  <c r="K58" i="1" s="1"/>
  <c r="J60" i="1"/>
  <c r="J59" i="1" s="1"/>
  <c r="J58" i="1" s="1"/>
  <c r="I60" i="1"/>
  <c r="I59" i="1" s="1"/>
  <c r="I58" i="1" s="1"/>
  <c r="L51" i="1"/>
  <c r="K51" i="1"/>
  <c r="J51" i="1"/>
  <c r="I51" i="1"/>
  <c r="L49" i="1"/>
  <c r="K49" i="1"/>
  <c r="J49" i="1"/>
  <c r="I49" i="1"/>
  <c r="L47" i="1"/>
  <c r="K47" i="1"/>
  <c r="J47" i="1"/>
  <c r="I47" i="1"/>
  <c r="L44" i="1"/>
  <c r="K44" i="1"/>
  <c r="J44" i="1"/>
  <c r="I44" i="1"/>
  <c r="L39" i="1"/>
  <c r="K39" i="1"/>
  <c r="I39" i="1"/>
  <c r="L37" i="1"/>
  <c r="K37" i="1"/>
  <c r="J37" i="1"/>
  <c r="I37" i="1"/>
  <c r="L34" i="1"/>
  <c r="K34" i="1"/>
  <c r="J34" i="1"/>
  <c r="I34" i="1"/>
  <c r="L29" i="1"/>
  <c r="K29" i="1"/>
  <c r="J29" i="1"/>
  <c r="I29" i="1"/>
  <c r="L19" i="1"/>
  <c r="L18" i="1" s="1"/>
  <c r="K19" i="1"/>
  <c r="K18" i="1" s="1"/>
  <c r="J19" i="1"/>
  <c r="J18" i="1" s="1"/>
  <c r="I19" i="1"/>
  <c r="I18" i="1" s="1"/>
  <c r="L14" i="1"/>
  <c r="L13" i="1" s="1"/>
  <c r="K14" i="1"/>
  <c r="K13" i="1" s="1"/>
  <c r="J14" i="1"/>
  <c r="J13" i="1" s="1"/>
  <c r="I14" i="1"/>
  <c r="I13" i="1" s="1"/>
  <c r="H11" i="1"/>
  <c r="H10" i="1" s="1"/>
  <c r="L11" i="1"/>
  <c r="L10" i="1" s="1"/>
  <c r="K11" i="1"/>
  <c r="K10" i="1" s="1"/>
  <c r="J11" i="1"/>
  <c r="J10" i="1" s="1"/>
  <c r="I11" i="1"/>
  <c r="I10" i="1" s="1"/>
  <c r="T597" i="2" l="1"/>
  <c r="T2175" i="2"/>
  <c r="K265" i="1"/>
  <c r="L185" i="1"/>
  <c r="T451" i="2"/>
  <c r="T383" i="2"/>
  <c r="T85" i="2"/>
  <c r="T234" i="2"/>
  <c r="I10" i="13"/>
  <c r="M11" i="13"/>
  <c r="T556" i="2"/>
  <c r="T2272" i="2"/>
  <c r="T1943" i="2"/>
  <c r="N261" i="2"/>
  <c r="T262" i="2"/>
  <c r="T2265" i="2"/>
  <c r="E14" i="14"/>
  <c r="F14" i="14" s="1"/>
  <c r="M161" i="13"/>
  <c r="K86" i="13"/>
  <c r="M144" i="13"/>
  <c r="K141" i="13"/>
  <c r="O2288" i="2"/>
  <c r="P2288" i="2" s="1"/>
  <c r="Q2288" i="2" s="1"/>
  <c r="R2288" i="2" s="1"/>
  <c r="T2288" i="2"/>
  <c r="M124" i="13"/>
  <c r="D12" i="14"/>
  <c r="F12" i="14" s="1"/>
  <c r="T428" i="2"/>
  <c r="N2246" i="2"/>
  <c r="T2259" i="2"/>
  <c r="T168" i="2"/>
  <c r="K175" i="13"/>
  <c r="T2174" i="2"/>
  <c r="E11" i="14"/>
  <c r="F11" i="14" s="1"/>
  <c r="M100" i="13"/>
  <c r="K178" i="1"/>
  <c r="B678" i="2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I149" i="1"/>
  <c r="L149" i="1"/>
  <c r="J170" i="1"/>
  <c r="I178" i="1"/>
  <c r="L178" i="1"/>
  <c r="B1921" i="2"/>
  <c r="B234" i="2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O8" i="3"/>
  <c r="Q8" i="3"/>
  <c r="P8" i="3"/>
  <c r="R8" i="3"/>
  <c r="J149" i="1"/>
  <c r="I141" i="1"/>
  <c r="L141" i="1"/>
  <c r="J178" i="1"/>
  <c r="K149" i="1"/>
  <c r="J141" i="1"/>
  <c r="K141" i="1"/>
  <c r="I134" i="1"/>
  <c r="J134" i="1"/>
  <c r="L134" i="1"/>
  <c r="K134" i="1"/>
  <c r="K116" i="1"/>
  <c r="I116" i="1"/>
  <c r="L116" i="1"/>
  <c r="J116" i="1"/>
  <c r="K83" i="1"/>
  <c r="K105" i="1"/>
  <c r="J105" i="1"/>
  <c r="I105" i="1"/>
  <c r="L105" i="1"/>
  <c r="K170" i="1"/>
  <c r="I83" i="1"/>
  <c r="L83" i="1"/>
  <c r="J83" i="1"/>
  <c r="I170" i="1"/>
  <c r="L170" i="1"/>
  <c r="J451" i="1"/>
  <c r="J450" i="1" s="1"/>
  <c r="J446" i="1" s="1"/>
  <c r="J614" i="1"/>
  <c r="J613" i="1" s="1"/>
  <c r="J612" i="1" s="1"/>
  <c r="I63" i="1"/>
  <c r="L63" i="1"/>
  <c r="J63" i="1"/>
  <c r="K63" i="1"/>
  <c r="J46" i="1"/>
  <c r="K46" i="1"/>
  <c r="I46" i="1"/>
  <c r="L46" i="1"/>
  <c r="B2426" i="2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I340" i="2"/>
  <c r="T340" i="2" s="1"/>
  <c r="K556" i="1"/>
  <c r="K555" i="1" s="1"/>
  <c r="K554" i="1" s="1"/>
  <c r="H18" i="1"/>
  <c r="I33" i="1"/>
  <c r="H14" i="1"/>
  <c r="H13" i="1" s="1"/>
  <c r="I26" i="1"/>
  <c r="L26" i="1"/>
  <c r="K33" i="1"/>
  <c r="K26" i="1"/>
  <c r="J507" i="1"/>
  <c r="J506" i="1" s="1"/>
  <c r="J621" i="1"/>
  <c r="J620" i="1" s="1"/>
  <c r="J619" i="1" s="1"/>
  <c r="I2362" i="2"/>
  <c r="I1342" i="2"/>
  <c r="T1342" i="2" s="1"/>
  <c r="I2117" i="2"/>
  <c r="N360" i="2"/>
  <c r="T360" i="2" s="1"/>
  <c r="I2379" i="2"/>
  <c r="T2379" i="2" s="1"/>
  <c r="I2089" i="2"/>
  <c r="I596" i="2"/>
  <c r="N382" i="2"/>
  <c r="I427" i="2"/>
  <c r="N318" i="2"/>
  <c r="T318" i="2" s="1"/>
  <c r="I96" i="2"/>
  <c r="T96" i="2" s="1"/>
  <c r="N2050" i="2"/>
  <c r="T2050" i="2" s="1"/>
  <c r="I382" i="2"/>
  <c r="N2287" i="2"/>
  <c r="O2287" i="2" s="1"/>
  <c r="P2287" i="2" s="1"/>
  <c r="Q2287" i="2" s="1"/>
  <c r="R2287" i="2" s="1"/>
  <c r="I1987" i="2"/>
  <c r="T1987" i="2" s="1"/>
  <c r="N562" i="2"/>
  <c r="N197" i="2"/>
  <c r="T197" i="2" s="1"/>
  <c r="I504" i="2"/>
  <c r="T504" i="2" s="1"/>
  <c r="N2117" i="2"/>
  <c r="N2247" i="2"/>
  <c r="T2247" i="2" s="1"/>
  <c r="I2510" i="2"/>
  <c r="T2510" i="2" s="1"/>
  <c r="N450" i="2"/>
  <c r="N43" i="2"/>
  <c r="T43" i="2" s="1"/>
  <c r="N427" i="2"/>
  <c r="N596" i="2"/>
  <c r="N2089" i="2"/>
  <c r="O2385" i="2"/>
  <c r="P2385" i="2" s="1"/>
  <c r="Q2385" i="2" s="1"/>
  <c r="R2385" i="2" s="1"/>
  <c r="D20" i="3"/>
  <c r="I489" i="2"/>
  <c r="T489" i="2" s="1"/>
  <c r="I562" i="2"/>
  <c r="I791" i="2"/>
  <c r="T791" i="2" s="1"/>
  <c r="I450" i="2"/>
  <c r="N61" i="2"/>
  <c r="T61" i="2" s="1"/>
  <c r="N1871" i="2"/>
  <c r="T1871" i="2" s="1"/>
  <c r="N1890" i="2"/>
  <c r="I2385" i="2"/>
  <c r="T2385" i="2" s="1"/>
  <c r="J26" i="1"/>
  <c r="J193" i="1"/>
  <c r="I446" i="1"/>
  <c r="I476" i="1"/>
  <c r="K568" i="1"/>
  <c r="K567" i="1" s="1"/>
  <c r="I590" i="1"/>
  <c r="I589" i="1" s="1"/>
  <c r="L568" i="1"/>
  <c r="L567" i="1" s="1"/>
  <c r="J33" i="1"/>
  <c r="L33" i="1"/>
  <c r="L163" i="1"/>
  <c r="I418" i="1"/>
  <c r="J163" i="1"/>
  <c r="K193" i="1"/>
  <c r="K192" i="1" s="1"/>
  <c r="L476" i="1"/>
  <c r="K583" i="1"/>
  <c r="K582" i="1" s="1"/>
  <c r="L193" i="1"/>
  <c r="I193" i="1"/>
  <c r="I192" i="1" s="1"/>
  <c r="I392" i="1"/>
  <c r="L392" i="1"/>
  <c r="I461" i="1"/>
  <c r="L461" i="1"/>
  <c r="K392" i="1"/>
  <c r="J590" i="1"/>
  <c r="J589" i="1" s="1"/>
  <c r="L621" i="1"/>
  <c r="L620" i="1" s="1"/>
  <c r="L619" i="1" s="1"/>
  <c r="L432" i="1"/>
  <c r="J432" i="1"/>
  <c r="K446" i="1"/>
  <c r="I614" i="1"/>
  <c r="I613" i="1" s="1"/>
  <c r="I612" i="1" s="1"/>
  <c r="L614" i="1"/>
  <c r="L613" i="1" s="1"/>
  <c r="L612" i="1" s="1"/>
  <c r="K9" i="1"/>
  <c r="K8" i="1" s="1"/>
  <c r="J277" i="1"/>
  <c r="J276" i="1" s="1"/>
  <c r="I9" i="1"/>
  <c r="I8" i="1" s="1"/>
  <c r="L9" i="1"/>
  <c r="L8" i="1" s="1"/>
  <c r="K163" i="1"/>
  <c r="K461" i="1"/>
  <c r="K476" i="1"/>
  <c r="K507" i="1"/>
  <c r="K506" i="1" s="1"/>
  <c r="I556" i="1"/>
  <c r="I555" i="1" s="1"/>
  <c r="I554" i="1" s="1"/>
  <c r="L556" i="1"/>
  <c r="L555" i="1" s="1"/>
  <c r="L554" i="1" s="1"/>
  <c r="L418" i="1"/>
  <c r="J418" i="1"/>
  <c r="K378" i="1"/>
  <c r="I432" i="1"/>
  <c r="J576" i="1"/>
  <c r="J575" i="1" s="1"/>
  <c r="K614" i="1"/>
  <c r="K613" i="1" s="1"/>
  <c r="K612" i="1" s="1"/>
  <c r="I621" i="1"/>
  <c r="I620" i="1" s="1"/>
  <c r="I619" i="1" s="1"/>
  <c r="J405" i="1"/>
  <c r="L446" i="1"/>
  <c r="J476" i="1"/>
  <c r="K492" i="1"/>
  <c r="J492" i="1"/>
  <c r="I507" i="1"/>
  <c r="I506" i="1" s="1"/>
  <c r="L507" i="1"/>
  <c r="L506" i="1" s="1"/>
  <c r="J556" i="1"/>
  <c r="J555" i="1" s="1"/>
  <c r="J554" i="1" s="1"/>
  <c r="K590" i="1"/>
  <c r="K589" i="1" s="1"/>
  <c r="J461" i="1"/>
  <c r="I492" i="1"/>
  <c r="L492" i="1"/>
  <c r="L590" i="1"/>
  <c r="L589" i="1" s="1"/>
  <c r="J9" i="1"/>
  <c r="J8" i="1" s="1"/>
  <c r="I163" i="1"/>
  <c r="K277" i="1"/>
  <c r="K276" i="1" s="1"/>
  <c r="I277" i="1"/>
  <c r="I276" i="1" s="1"/>
  <c r="L277" i="1"/>
  <c r="L276" i="1" s="1"/>
  <c r="J378" i="1"/>
  <c r="L405" i="1"/>
  <c r="I405" i="1"/>
  <c r="K418" i="1"/>
  <c r="K432" i="1"/>
  <c r="I378" i="1"/>
  <c r="L378" i="1"/>
  <c r="J392" i="1"/>
  <c r="K405" i="1"/>
  <c r="I568" i="1"/>
  <c r="I567" i="1" s="1"/>
  <c r="J568" i="1"/>
  <c r="J567" i="1" s="1"/>
  <c r="K621" i="1"/>
  <c r="K620" i="1" s="1"/>
  <c r="K619" i="1" s="1"/>
  <c r="T562" i="2" l="1"/>
  <c r="K62" i="1"/>
  <c r="J62" i="1"/>
  <c r="L62" i="1"/>
  <c r="I62" i="1"/>
  <c r="B754" i="2"/>
  <c r="B755" i="2" s="1"/>
  <c r="B756" i="2" s="1"/>
  <c r="B757" i="2" s="1"/>
  <c r="B758" i="2" s="1"/>
  <c r="L192" i="1"/>
  <c r="J192" i="1"/>
  <c r="T427" i="2"/>
  <c r="T382" i="2"/>
  <c r="T2117" i="2"/>
  <c r="K179" i="13"/>
  <c r="K174" i="13" s="1"/>
  <c r="E15" i="14" s="1"/>
  <c r="F15" i="14" s="1"/>
  <c r="T2246" i="2"/>
  <c r="T450" i="2"/>
  <c r="T2089" i="2"/>
  <c r="K60" i="13"/>
  <c r="T261" i="2"/>
  <c r="K138" i="13"/>
  <c r="M141" i="13"/>
  <c r="D6" i="14"/>
  <c r="M10" i="13"/>
  <c r="T596" i="2"/>
  <c r="T2287" i="2"/>
  <c r="E10" i="14"/>
  <c r="F10" i="14" s="1"/>
  <c r="M86" i="13"/>
  <c r="N1861" i="2"/>
  <c r="T1861" i="2" s="1"/>
  <c r="T1890" i="2"/>
  <c r="B1922" i="2"/>
  <c r="B1923" i="2" s="1"/>
  <c r="B1924" i="2" s="1"/>
  <c r="B1925" i="2" s="1"/>
  <c r="B250" i="2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J635" i="1"/>
  <c r="D19" i="3"/>
  <c r="L635" i="1"/>
  <c r="L642" i="1" s="1"/>
  <c r="L25" i="1"/>
  <c r="N425" i="2"/>
  <c r="B2479" i="2"/>
  <c r="B2480" i="2" s="1"/>
  <c r="N2362" i="2"/>
  <c r="T2362" i="2" s="1"/>
  <c r="N294" i="2"/>
  <c r="T294" i="2" s="1"/>
  <c r="I25" i="1"/>
  <c r="K25" i="1"/>
  <c r="J25" i="1"/>
  <c r="H9" i="1"/>
  <c r="H8" i="1" s="1"/>
  <c r="L505" i="1"/>
  <c r="I505" i="1"/>
  <c r="N8" i="2"/>
  <c r="T8" i="2" s="1"/>
  <c r="N2048" i="2"/>
  <c r="N154" i="2"/>
  <c r="I11" i="3" s="1"/>
  <c r="N2173" i="2"/>
  <c r="I20" i="3"/>
  <c r="N20" i="3" s="1"/>
  <c r="D12" i="3"/>
  <c r="D9" i="3"/>
  <c r="D13" i="3"/>
  <c r="N554" i="2"/>
  <c r="T554" i="2" s="1"/>
  <c r="D15" i="3"/>
  <c r="N15" i="3" s="1"/>
  <c r="I154" i="2"/>
  <c r="D16" i="3"/>
  <c r="D14" i="3"/>
  <c r="K635" i="1"/>
  <c r="K642" i="1" s="1"/>
  <c r="H620" i="1"/>
  <c r="H619" i="1" s="1"/>
  <c r="H635" i="1" s="1"/>
  <c r="H642" i="1" s="1"/>
  <c r="I635" i="1"/>
  <c r="I642" i="1" s="1"/>
  <c r="J505" i="1"/>
  <c r="K505" i="1"/>
  <c r="H24" i="1"/>
  <c r="T154" i="2" l="1"/>
  <c r="D5" i="14"/>
  <c r="D18" i="14" s="1"/>
  <c r="F6" i="14"/>
  <c r="M60" i="13"/>
  <c r="K50" i="13"/>
  <c r="I13" i="3"/>
  <c r="N13" i="3" s="1"/>
  <c r="T425" i="2"/>
  <c r="I16" i="3"/>
  <c r="N16" i="3" s="1"/>
  <c r="I17" i="3"/>
  <c r="T2048" i="2"/>
  <c r="M138" i="13"/>
  <c r="E13" i="14"/>
  <c r="F13" i="14" s="1"/>
  <c r="I9" i="3"/>
  <c r="N9" i="3" s="1"/>
  <c r="J642" i="1"/>
  <c r="K7" i="3"/>
  <c r="K22" i="3" s="1"/>
  <c r="B1926" i="2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I12" i="3"/>
  <c r="N12" i="3" s="1"/>
  <c r="B2481" i="2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I19" i="3"/>
  <c r="N19" i="3" s="1"/>
  <c r="I24" i="1"/>
  <c r="I606" i="1" s="1"/>
  <c r="L24" i="1"/>
  <c r="L606" i="1" s="1"/>
  <c r="D11" i="3"/>
  <c r="N11" i="3" s="1"/>
  <c r="J24" i="1"/>
  <c r="J606" i="1" s="1"/>
  <c r="I18" i="3"/>
  <c r="I14" i="3"/>
  <c r="N14" i="3" s="1"/>
  <c r="D17" i="3"/>
  <c r="K24" i="1"/>
  <c r="K606" i="1" s="1"/>
  <c r="G7" i="3" s="1"/>
  <c r="E8" i="14" l="1"/>
  <c r="M50" i="13"/>
  <c r="N17" i="3"/>
  <c r="B1953" i="2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Q7" i="3"/>
  <c r="Q23" i="3" s="1"/>
  <c r="Q44" i="3" s="1"/>
  <c r="G21" i="3"/>
  <c r="L641" i="1"/>
  <c r="H7" i="3"/>
  <c r="I643" i="1"/>
  <c r="E7" i="3"/>
  <c r="J641" i="1"/>
  <c r="F7" i="3"/>
  <c r="I641" i="1"/>
  <c r="B2498" i="2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L643" i="1"/>
  <c r="K641" i="1"/>
  <c r="K643" i="1"/>
  <c r="J643" i="1"/>
  <c r="I8" i="3"/>
  <c r="B1980" i="2" l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F8" i="14"/>
  <c r="E5" i="14"/>
  <c r="B759" i="2"/>
  <c r="B760" i="2" s="1"/>
  <c r="O7" i="3"/>
  <c r="O23" i="3" s="1"/>
  <c r="O44" i="3" s="1"/>
  <c r="E21" i="3"/>
  <c r="P7" i="3"/>
  <c r="P23" i="3" s="1"/>
  <c r="P44" i="3" s="1"/>
  <c r="F21" i="3"/>
  <c r="R7" i="3"/>
  <c r="R23" i="3" s="1"/>
  <c r="R44" i="3" s="1"/>
  <c r="H21" i="3"/>
  <c r="B2509" i="2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I7" i="3"/>
  <c r="I22" i="3" s="1"/>
  <c r="F5" i="14" l="1"/>
  <c r="F20" i="14" s="1"/>
  <c r="F35" i="14" s="1"/>
  <c r="E19" i="14"/>
  <c r="B2521" i="2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I2173" i="2"/>
  <c r="T2173" i="2" s="1"/>
  <c r="D18" i="3" l="1"/>
  <c r="N18" i="3" s="1"/>
  <c r="D8" i="3" l="1"/>
  <c r="N8" i="3" s="1"/>
  <c r="H506" i="1"/>
  <c r="H505" i="1" s="1"/>
  <c r="H606" i="1" s="1"/>
  <c r="H641" i="1" s="1"/>
  <c r="H643" i="1" l="1"/>
  <c r="D7" i="3"/>
  <c r="N7" i="3" l="1"/>
  <c r="D21" i="3"/>
  <c r="N23" i="3" l="1"/>
  <c r="N44" i="3" s="1"/>
  <c r="T11" i="3"/>
  <c r="B1194" i="2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l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</calcChain>
</file>

<file path=xl/sharedStrings.xml><?xml version="1.0" encoding="utf-8"?>
<sst xmlns="http://schemas.openxmlformats.org/spreadsheetml/2006/main" count="5231" uniqueCount="966">
  <si>
    <t>Bežné príjmy</t>
  </si>
  <si>
    <t>Schválený rozpočet na rok 2016</t>
  </si>
  <si>
    <t>Očakávaná skutočnosť 2016</t>
  </si>
  <si>
    <t>Plnenie rozpočtu k 31.12.2015</t>
  </si>
  <si>
    <t>Plnenie rozpočtu k 31.12.2014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</si>
  <si>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</si>
  <si>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</si>
  <si>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</si>
  <si>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</si>
  <si>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</si>
  <si>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</si>
  <si>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</si>
  <si>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</si>
  <si>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</si>
  <si>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</si>
  <si>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</si>
  <si>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</si>
  <si>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</si>
  <si>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</si>
  <si>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</si>
  <si>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</si>
  <si>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</si>
  <si>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</si>
  <si>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</si>
  <si>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</si>
  <si>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</si>
  <si>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</si>
  <si>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</si>
  <si>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</si>
  <si>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podnikania</t>
  </si>
  <si>
    <t>Dividendy</t>
  </si>
  <si>
    <t>Príjmy z vlastníctva</t>
  </si>
  <si>
    <t>Z prenajatých pozemkov</t>
  </si>
  <si>
    <t>Z prenajatých budov, priestorov a objektov</t>
  </si>
  <si>
    <t>Z prenajatých strojov, prístrojov, zariadení, techniky a náradia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</si>
  <si>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</si>
  <si>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</si>
  <si>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</si>
  <si>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</si>
  <si>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</si>
  <si>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</si>
  <si>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</si>
  <si>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</si>
  <si>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Za prebytočný hnuteľný majetok</t>
  </si>
  <si>
    <t>Ďalšie administratívne a iné poplatky a platby</t>
  </si>
  <si>
    <t>Za znečisťovanie ovzdušia</t>
  </si>
  <si>
    <t>Úroky z domácich úverov, pôžičiek a vkladov</t>
  </si>
  <si>
    <t>Z vkladov</t>
  </si>
  <si>
    <t>Z účtov finančného hospodárenia</t>
  </si>
  <si>
    <t>Iné nedaňové príjmy</t>
  </si>
  <si>
    <t>Ostatné príjmy</t>
  </si>
  <si>
    <t>Z náhrad z poistného plnenia</t>
  </si>
  <si>
    <t>Z odvodov z hazardných hier a iných podobných hier</t>
  </si>
  <si>
    <t>Z dobropisov</t>
  </si>
  <si>
    <t>Z vratiek</t>
  </si>
  <si>
    <t>Z refundácie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</si>
  <si>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</si>
  <si>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</si>
  <si>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</si>
  <si>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</si>
  <si>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</si>
  <si>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</si>
  <si>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</si>
  <si>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24 0  60</t>
  </si>
  <si>
    <t>KS Dlhé Hony - 28. októbra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</si>
  <si>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</si>
  <si>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</si>
  <si>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</si>
  <si>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</si>
  <si>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</si>
  <si>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</si>
  <si>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24 0  80</t>
  </si>
  <si>
    <t>KS Opatová - Opatovská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</si>
  <si>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</si>
  <si>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</si>
  <si>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</si>
  <si>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</si>
  <si>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</si>
  <si>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</si>
  <si>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</si>
  <si>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</si>
  <si>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</si>
  <si>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24 2  00IN</t>
  </si>
  <si>
    <t>26 0  10</t>
  </si>
  <si>
    <t>Krytá plaváreň</t>
  </si>
  <si>
    <t>26 0  20</t>
  </si>
  <si>
    <t>Letná plaváreň</t>
  </si>
  <si>
    <t>26 0  30</t>
  </si>
  <si>
    <t>Zimný štadión</t>
  </si>
  <si>
    <t>Mobiliár mesta a detské ihriská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</si>
  <si>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</si>
  <si>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</si>
  <si>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</si>
  <si>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</si>
  <si>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</si>
  <si>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</si>
  <si>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</si>
  <si>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</si>
  <si>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</si>
  <si>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</si>
  <si>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</si>
  <si>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</si>
  <si>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</si>
  <si>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</si>
  <si>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</si>
  <si>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</si>
  <si>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</si>
  <si>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</si>
  <si>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</si>
  <si>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</si>
  <si>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</si>
  <si>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</si>
  <si>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</si>
  <si>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</si>
  <si>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</si>
  <si>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</si>
  <si>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</si>
  <si>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</si>
  <si>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</si>
  <si>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</si>
  <si>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</si>
  <si>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</si>
  <si>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</si>
  <si>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</si>
  <si>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</si>
  <si>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</si>
  <si>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</si>
  <si>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</si>
  <si>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</si>
  <si>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</si>
  <si>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</si>
  <si>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</si>
  <si>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</si>
  <si>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</si>
  <si>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</si>
  <si>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</si>
  <si>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</si>
  <si>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</si>
  <si>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</si>
  <si>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</si>
  <si>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</si>
  <si>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</si>
  <si>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</si>
  <si>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</si>
  <si>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</si>
  <si>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</si>
  <si>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</si>
  <si>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</si>
  <si>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</si>
  <si>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</si>
  <si>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</si>
  <si>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</si>
  <si>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</si>
  <si>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</si>
  <si>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</si>
  <si>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</si>
  <si>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</si>
  <si>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</si>
  <si>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</si>
  <si>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</si>
  <si>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</si>
  <si>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</si>
  <si>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</si>
  <si>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</si>
  <si>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</si>
  <si>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</si>
  <si>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</si>
  <si>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</si>
  <si>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</si>
  <si>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</si>
  <si>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</si>
  <si>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</si>
  <si>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</si>
  <si>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</si>
  <si>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</si>
  <si>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</si>
  <si>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</si>
  <si>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</si>
  <si>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</si>
  <si>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</si>
  <si>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</si>
  <si>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</si>
  <si>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</si>
  <si>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</si>
  <si>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</si>
  <si>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</si>
  <si>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</si>
  <si>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</si>
  <si>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</si>
  <si>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</si>
  <si>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</si>
  <si>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</si>
  <si>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</si>
  <si>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</si>
  <si>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</si>
  <si>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Granty</t>
  </si>
  <si>
    <t>Čaro Vianoce</t>
  </si>
  <si>
    <t>Transfery v rámci verejnej správy</t>
  </si>
  <si>
    <t>Zo štátneho rozpočtu okrem transferu na úhradu nákladov preneseného výkonu štátnej správy</t>
  </si>
  <si>
    <t>VPP</t>
  </si>
  <si>
    <t>90 30 0003</t>
  </si>
  <si>
    <t>MPSVaR - soc.zabezp. ZOS</t>
  </si>
  <si>
    <t>90 30 0011</t>
  </si>
  <si>
    <t>Vojnové hroby</t>
  </si>
  <si>
    <t>90 30 0013</t>
  </si>
  <si>
    <t>VÚŠR ÚPSVR príspevok §50i zákona o službách</t>
  </si>
  <si>
    <t>90 30 0014</t>
  </si>
  <si>
    <t>KŠÚ - vzdel. poukazy</t>
  </si>
  <si>
    <t>90 30 0015</t>
  </si>
  <si>
    <t>KŠÚ - asistenti učiteľov</t>
  </si>
  <si>
    <t>90 30 0016</t>
  </si>
  <si>
    <t>Dot. VÚ ŠR ÚPSVR - škol.potreby</t>
  </si>
  <si>
    <t>90 30 0017</t>
  </si>
  <si>
    <t>Dot. VÚ ŠR ÚPSVR - strava</t>
  </si>
  <si>
    <t>90 30 0018</t>
  </si>
  <si>
    <t>ÚPSVR - rodinné prídavky</t>
  </si>
  <si>
    <t>90 30 0019</t>
  </si>
  <si>
    <t>KŠÚ - doprava</t>
  </si>
  <si>
    <t>90 30 0024</t>
  </si>
  <si>
    <t>Voľby NR SR 2012</t>
  </si>
  <si>
    <t>90 30 0026</t>
  </si>
  <si>
    <t>Ministerstvo kultúry</t>
  </si>
  <si>
    <t>KŠÚ - školstvo-prenes.komp., mzdy, platy</t>
  </si>
  <si>
    <t>90 30 0033</t>
  </si>
  <si>
    <t>Voľby do EP 2014</t>
  </si>
  <si>
    <t>90 30 0040</t>
  </si>
  <si>
    <t>Referendum 2015</t>
  </si>
  <si>
    <t>90 30 0039</t>
  </si>
  <si>
    <t>Voľby komunálne</t>
  </si>
  <si>
    <t>90 30 0048</t>
  </si>
  <si>
    <t>Voľby NR SR 2016</t>
  </si>
  <si>
    <t>90 30 0049</t>
  </si>
  <si>
    <t>Škola v prírode</t>
  </si>
  <si>
    <t>90 30 0051</t>
  </si>
  <si>
    <t>dotácia pre deti v hmotnej núdzi</t>
  </si>
  <si>
    <t>90 30 0055</t>
  </si>
  <si>
    <t>MK SR - Projekt Súsošie na stĺpe na Mierovom nám.</t>
  </si>
  <si>
    <t>90 30 0059</t>
  </si>
  <si>
    <t>Rozvojové projekty na rekonštrukcie telocviční ZŠ</t>
  </si>
  <si>
    <t>Dotácia z Envirodondu</t>
  </si>
  <si>
    <t>Dotácia MŠ Legionárska</t>
  </si>
  <si>
    <t>Z rozpočtu obce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</si>
  <si>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</si>
  <si>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</si>
  <si>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</si>
  <si>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</si>
  <si>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</si>
  <si>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</si>
  <si>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</si>
  <si>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</si>
  <si>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</si>
  <si>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</si>
  <si>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</si>
  <si>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</si>
  <si>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</si>
  <si>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</si>
  <si>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</si>
  <si>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</si>
  <si>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90 30 0025</t>
  </si>
  <si>
    <t>KŠÚ - nákl.na žiaka-soc.znevýh.prostr.</t>
  </si>
  <si>
    <t>90 30 0042</t>
  </si>
  <si>
    <t>KŠÚ - príspevok na učebnice</t>
  </si>
  <si>
    <t>Činnosti na úseku CO</t>
  </si>
  <si>
    <t>Lyžiarsky kurz</t>
  </si>
  <si>
    <t>poplatky zamestnanci</t>
  </si>
  <si>
    <t>poplatky cudzí stravníci</t>
  </si>
  <si>
    <t>réžia-cudzí stravníci,zamestnanci školy</t>
  </si>
  <si>
    <t>Bežné príjmy spolu</t>
  </si>
  <si>
    <t>Kapitálové príjmy</t>
  </si>
  <si>
    <t>Príjem z predaja kapitálových aktív</t>
  </si>
  <si>
    <t>Príjem z predaja pozemkov a nehmotných aktív</t>
  </si>
  <si>
    <t>Z predaja pozemkov</t>
  </si>
  <si>
    <t>Tuzemské kapitálové granty a transfery</t>
  </si>
  <si>
    <t>Grant - ochranné siete hradné bralo</t>
  </si>
  <si>
    <t>Grant od SPP</t>
  </si>
  <si>
    <t>Zo štátneho rozpočtu</t>
  </si>
  <si>
    <t>Dotácia SZĽH - materiálno-technický rozvoj  športu</t>
  </si>
  <si>
    <t>Dotácia z úradu vlády na zdravotné pomôcky</t>
  </si>
  <si>
    <t>Dotácia na podporu rozvoja sociálnych služieb</t>
  </si>
  <si>
    <t>Dotácia na rekonštrukciu MŠ Legionárska</t>
  </si>
  <si>
    <t>Rozvojové programy na rekonštrukcie telocviční ZŠ</t>
  </si>
  <si>
    <t>Komplexná modernizácia verejného osvetlenia v meste Trenčín</t>
  </si>
  <si>
    <t>Kapitálové príjmy spolu</t>
  </si>
  <si>
    <t>PRÍJMY Spolu</t>
  </si>
  <si>
    <t>Dotácia z MV SR - rozšírenie a modernizácia kamer.systému MsP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</si>
  <si>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</si>
  <si>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</si>
  <si>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</si>
  <si>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</si>
  <si>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</si>
  <si>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</si>
  <si>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</si>
  <si>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</si>
  <si>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Schválený bežný rozpočet na rok 2016</t>
  </si>
  <si>
    <t>Očakávaná skutočnosť bežného rozpočtu 2016</t>
  </si>
  <si>
    <t>Skutočnosť bežného rozpočtu k 31.12.2015</t>
  </si>
  <si>
    <t>Skutočnosť bežného rozpočtu k 31.12.2014</t>
  </si>
  <si>
    <t>Schválený kapitálový rozpočet na rok 2016</t>
  </si>
  <si>
    <t>Skutočnosť kapitálového rozpočtu k 31.12.2015</t>
  </si>
  <si>
    <t>Skutočnosť kapitálového rozpočtu k 31.12.2014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</si>
  <si>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</si>
  <si>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</si>
  <si>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</si>
  <si>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</si>
  <si>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</si>
  <si>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</si>
  <si>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</si>
  <si>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</si>
  <si>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</si>
  <si>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</si>
  <si>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</si>
  <si>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</si>
  <si>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</si>
  <si>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</si>
  <si>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</si>
  <si>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</si>
  <si>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</si>
  <si>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</si>
  <si>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územnoplánovacie podklady a dokumentácie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</si>
  <si>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</si>
  <si>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</si>
  <si>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</si>
  <si>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</si>
  <si>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</si>
  <si>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</si>
  <si>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ÚPD - dočerpanie úveru z roku 2015</t>
  </si>
  <si>
    <t>Strategické plánovanie mesta</t>
  </si>
  <si>
    <t>Realizácia stavieb a ich technického zhodnotenia</t>
  </si>
  <si>
    <t>Mestské zásahy</t>
  </si>
  <si>
    <t>Implementácia projektov EU</t>
  </si>
  <si>
    <t>MČ Sever</t>
  </si>
  <si>
    <t>MČ Stred</t>
  </si>
  <si>
    <t>MČ Západ</t>
  </si>
  <si>
    <t>MČ Juh</t>
  </si>
  <si>
    <t>0112</t>
  </si>
  <si>
    <t>0840</t>
  </si>
  <si>
    <t>Zabezpečovanie volieb</t>
  </si>
  <si>
    <t>0160</t>
  </si>
  <si>
    <t>Mzdy, platy, služobné príjmy a ostatné osobné vyrovnania</t>
  </si>
  <si>
    <t>PROGRAM   2: PROPAGÁCIA A CESTOVNÝ RUCH</t>
  </si>
  <si>
    <t>Prezentácia mesta</t>
  </si>
  <si>
    <t>0473</t>
  </si>
  <si>
    <t>Mladý záchranár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</si>
  <si>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</si>
  <si>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</si>
  <si>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</si>
  <si>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</si>
  <si>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</si>
  <si>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</si>
  <si>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</si>
  <si>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</si>
  <si>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</si>
  <si>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</si>
  <si>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vrátenie fin.prostriedkov</t>
  </si>
  <si>
    <t>Preventívna ochrana zamestnancov</t>
  </si>
  <si>
    <t>el.energia</t>
  </si>
  <si>
    <t>Premiestnenie montovaných obytných buniek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</si>
  <si>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</si>
  <si>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</si>
  <si>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</si>
  <si>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</si>
  <si>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</si>
  <si>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</si>
  <si>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</si>
  <si>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</si>
  <si>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</si>
  <si>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</si>
  <si>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</si>
  <si>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</si>
  <si>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</si>
  <si>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</si>
  <si>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</si>
  <si>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</si>
  <si>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</si>
  <si>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</si>
  <si>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evidencia obyvateľstva</t>
  </si>
  <si>
    <t>Správa a údržba pozem.komunikácií</t>
  </si>
  <si>
    <t>0451</t>
  </si>
  <si>
    <t>0620</t>
  </si>
  <si>
    <t>0640</t>
  </si>
  <si>
    <t>Rekonštrukcia a modernizácia</t>
  </si>
  <si>
    <t>Cintorínske a pohrebné služby</t>
  </si>
  <si>
    <t>elektrická energia</t>
  </si>
  <si>
    <t>Bočkové sady - odvodnenie</t>
  </si>
  <si>
    <t>Nový cintorín - Bočkove sady</t>
  </si>
  <si>
    <t>Dom smútku Juh - rekonštrukcia a zateplenie strechy</t>
  </si>
  <si>
    <t>MČ Stred - rekonštr.domu smútku v Biskupiciach</t>
  </si>
  <si>
    <t>MČ Západ - Rekonštrukcia plochy pred domom smútku Záblatie</t>
  </si>
  <si>
    <t>Miestne médiá</t>
  </si>
  <si>
    <t>Miestne médiá (rozhlas)</t>
  </si>
  <si>
    <t>PROGRAM   5: Bezpečnosť</t>
  </si>
  <si>
    <t>Zabezpečovanie verejného poriadku</t>
  </si>
  <si>
    <t>0310</t>
  </si>
  <si>
    <t>VO ul.Kyjevská (na ul.M.Bela, za KS Aktivity)</t>
  </si>
  <si>
    <t>Križovatka pri Bille - CSS</t>
  </si>
  <si>
    <t>Rekonštrukcia VO - splátka ČSOB</t>
  </si>
  <si>
    <t>Dohoda o reštruktualizácii dlhu - záväzky 2010</t>
  </si>
  <si>
    <t>VO na ul.Karpatská</t>
  </si>
  <si>
    <t>komplexná modernizácia časti VO v meste Trenčín</t>
  </si>
  <si>
    <t>Doplnenie VO v častiach mesta Trenčín</t>
  </si>
  <si>
    <t>doplnenie VO - úsek KD Zlatovce po napojenie  na ul.Psotného</t>
  </si>
  <si>
    <t>doplnenie svetelných bodov VO Hanzlíkovská</t>
  </si>
  <si>
    <t>MČ Juh - osvetlenie vnútrobloku za kult.centrom Juh</t>
  </si>
  <si>
    <t>MČ Juh - osvetlenie parkoviska medzi ZŠ Novomeského a ul.Šafárikova</t>
  </si>
  <si>
    <t>MČ Juh - osvetlenie Halalovka 50 - Východná 26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</si>
  <si>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</si>
  <si>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</si>
  <si>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</si>
  <si>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</si>
  <si>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</si>
  <si>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</si>
  <si>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</si>
  <si>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</si>
  <si>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Kapitálové transfery</t>
  </si>
  <si>
    <t>PROGRAM   6: DOPRAVA</t>
  </si>
  <si>
    <t>Autobusová doprava SAD Trenčín</t>
  </si>
  <si>
    <t>Správa a údržba komunikácií a parkovísk</t>
  </si>
  <si>
    <t>Prenájom</t>
  </si>
  <si>
    <t>MČ Juh -Zábrany pred vchodom do ZŠ Novomeského</t>
  </si>
  <si>
    <t>0510</t>
  </si>
  <si>
    <t>Výstavba a rekonštrukcia pozemných kom.</t>
  </si>
  <si>
    <t>ul.Zlatovská</t>
  </si>
  <si>
    <t>Dohoda o reštr.dlhu - záväzky 2010 - ČSOB</t>
  </si>
  <si>
    <t>Chodník na ul.Legionárska, Biskupická</t>
  </si>
  <si>
    <t>Cyklistické prepojenie Centrum - sídlisko Juh</t>
  </si>
  <si>
    <t>označenie častí mesta Trenčín</t>
  </si>
  <si>
    <t>Ul.Opatovská - vybudovanie chodníka</t>
  </si>
  <si>
    <t>MK Mníšna, 10.apríla, Mlynská, Opatovská</t>
  </si>
  <si>
    <t>Križovatka ul.M.Bela a gen.Svobodu (rázcestie)</t>
  </si>
  <si>
    <t>Rekonštrukcia ul.Šafárikova a dobudovanie stat.dopravy</t>
  </si>
  <si>
    <t>Ul.Halalovka - dobudovanie statickej dopravy</t>
  </si>
  <si>
    <t>Podchod pre peších pod Chynoranskou traťou</t>
  </si>
  <si>
    <t>Rekonštrukcia križovatky Šmidkeho, Halašu, Novomeského</t>
  </si>
  <si>
    <t>Dopravné značenie ul. Zlatovská</t>
  </si>
  <si>
    <t>Odvodnenie MK NIva</t>
  </si>
  <si>
    <t>Priechod pre chodcov ul.Hodžova</t>
  </si>
  <si>
    <t>Nozdrkovský chodník v úseku ČOV</t>
  </si>
  <si>
    <t>MČ Juh - ul. Západná - rekonštrukcia MK</t>
  </si>
  <si>
    <t>MČ Juh - ul. Východná - chodník</t>
  </si>
  <si>
    <t>MČ Juh - ul. Šafárikova - parkovanie</t>
  </si>
  <si>
    <t>MČ Sever - Šoltésovej</t>
  </si>
  <si>
    <t>MČ Sever - Opatovská + Žilinská</t>
  </si>
  <si>
    <t>MČ Sever - PD na dopravné značenie MK Žilinská</t>
  </si>
  <si>
    <t>MČ Stred - Pod Komárky - rekonštrukcia</t>
  </si>
  <si>
    <t>MČ Stred - Priechod pre chodcov Ul.Legionárska pri Perle,Soblahovská pri cintoríne,Piaristická</t>
  </si>
  <si>
    <t>MČ Stred - priechod pre chodcov na ul.Súdna</t>
  </si>
  <si>
    <t>Rozšírenie parkoviska Saratovská cintorín</t>
  </si>
  <si>
    <t>MČ Juh - parkovanie per ZŠ Novomeského</t>
  </si>
  <si>
    <t>MČ Západ - Rekonštrukcia cesty + cyklotrasa na ul.Na kamenci, od ul.Na vinohrady po Kasárenskú ul.</t>
  </si>
  <si>
    <t>MČ Sever - Úprava križovatky ulíc Považská/Gagarinova</t>
  </si>
  <si>
    <t>MČ Sever - Rozšírenie parkoviska pri hrádzi od ul.Clementisova a po ul.Pádivého</t>
  </si>
  <si>
    <t>MČ Sever -  PD Stavebná úprava chodníkov Opatovská ul., Žilinská ul., Hodžova ul., Považská ul.</t>
  </si>
  <si>
    <t>MČ Sever - I.Krasku - parkovanie</t>
  </si>
  <si>
    <t>MČ Stred - PD na 2 priechody pre chodcov v Trenčianskych Biskupiciach</t>
  </si>
  <si>
    <t>MČ Juh - Jednosmerka Gen.Svobodu č.3-13</t>
  </si>
  <si>
    <t>MK Šoltésovej</t>
  </si>
  <si>
    <t>MK Olbrachtova</t>
  </si>
  <si>
    <t>Mestský zásah Stred - PD - úprava podchodu na Noviny pre Perle</t>
  </si>
  <si>
    <t>PD-Priechody pre chodcov:osvetlenie</t>
  </si>
  <si>
    <t>PD Horné Orechové - chodník</t>
  </si>
  <si>
    <t>PD ul.Jahodova - 1.etapa</t>
  </si>
  <si>
    <t>Zlepšenie mobility</t>
  </si>
  <si>
    <t>Križovatka Ul.Legionárska a Dlhé Hony</t>
  </si>
  <si>
    <t>Vstup do nemocnice</t>
  </si>
  <si>
    <t>Chodník + prechod pre chodcov Biskupická</t>
  </si>
  <si>
    <t>MK Zelnica, k.ú.Kubra</t>
  </si>
  <si>
    <t>Povrch ulice Zlatovská</t>
  </si>
  <si>
    <t>Povrch MK Kuzmányho, Moyzesova, Kmeťova</t>
  </si>
  <si>
    <t>Povrch MK Slnečné nám.</t>
  </si>
  <si>
    <t>Povrch MK sídl. Noviny</t>
  </si>
  <si>
    <t>Povrch MK Nozdrkovce</t>
  </si>
  <si>
    <t>Pod Sokolice - rekonštrukcia chodníkov</t>
  </si>
  <si>
    <t>Stanovištia pre smetné nádoby ul.J.Zemana</t>
  </si>
  <si>
    <t>Prechod pre chodcov na ul.Kpt.Nálepku</t>
  </si>
  <si>
    <t>Chodník na ul.Karpatská</t>
  </si>
  <si>
    <t>MČ Juh - ul.Novomeského</t>
  </si>
  <si>
    <t>MČ Juh - ul. Šafárikova - Liptovská</t>
  </si>
  <si>
    <t>MČ Juh - ul. Kyjevská - stanovištia pre smetné nádoby</t>
  </si>
  <si>
    <t>MČ Juh - ul.Novomeského - rekonštrukcia</t>
  </si>
  <si>
    <t>MČ Juh - Halalovka - chodník</t>
  </si>
  <si>
    <t>MČ Juh - M.Bela - Halalovka - priechod pre chodcov</t>
  </si>
  <si>
    <t>MČ Sever - Pod Sokolice - rekonštrukcia</t>
  </si>
  <si>
    <t>MČ Sever - Gen.Viesta - chodník</t>
  </si>
  <si>
    <t>MČ Sever - ul.I.Krasku - parkovanie</t>
  </si>
  <si>
    <t>MČ Stred - rekonštrukcia schodov na ul.Cintorínska a Nová</t>
  </si>
  <si>
    <t>MČ Stred - rekonštrukcia chodníka na Nám.sv.Anny</t>
  </si>
  <si>
    <t>MČ Juh - ul.Šafárikova pod ZŠ statická doprava</t>
  </si>
  <si>
    <t>MK J.Zemana</t>
  </si>
  <si>
    <t>Prechod pre chodcov Horné Orechové</t>
  </si>
  <si>
    <t>Chodník Psotného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</si>
  <si>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</si>
  <si>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</si>
  <si>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</si>
  <si>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 prechod pre chodcov</t>
  </si>
  <si>
    <t>MČ Juh - Chodník k zdravotnému stredisku od M.Bela</t>
  </si>
  <si>
    <t>MČ Juh - Chodník Ul. Novomeského, smer Saratovská</t>
  </si>
  <si>
    <t>MČ Juh - rozšírenie rádiusu komunikácie J.Halašu č.14</t>
  </si>
  <si>
    <t>MČ Západ - Rekonštrukcia časti chodníka ul. Na kamenci  smer Vinohrady</t>
  </si>
  <si>
    <t>MČ Západ - Rekonštrukcia časti chodníkov na ul.Zlatovská a Staničná</t>
  </si>
  <si>
    <t>MČ Sever - Stavebná úprava MK v časti Žilinská č.14 až 16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</si>
  <si>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</si>
  <si>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</si>
  <si>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</si>
  <si>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Priechody pre chodcov: osvetlenie</t>
  </si>
  <si>
    <t>MČ Západ - ul.Poľnohospodárska</t>
  </si>
  <si>
    <t>ul.Prúdy (Nové Zlatovce)</t>
  </si>
  <si>
    <t>Chodník pre chodcov na ul.Legionárska</t>
  </si>
  <si>
    <t>Rekonštrukcia ul.Vážska od Bratislavskej po Obchodnú</t>
  </si>
  <si>
    <t>Transfery nefinančným subjektom a transfery príspevkovým organizáciám nezaradeným vo verejnej správe v registri vedenom Štatistickým úradom Slovenskej republiky</t>
  </si>
  <si>
    <t>PROGRAM   7: Vzdelávanie</t>
  </si>
  <si>
    <t>Materské školy</t>
  </si>
  <si>
    <t>09111</t>
  </si>
  <si>
    <t>MŠ Oriešok</t>
  </si>
  <si>
    <t>MŠ Opatovská - nákup preliezačiek</t>
  </si>
  <si>
    <t>MŠ Medňanského - strecha</t>
  </si>
  <si>
    <t>MŠ Stromova - rekonštrukcia strechy</t>
  </si>
  <si>
    <t>MŠ Legionárska - vypracovanie PD</t>
  </si>
  <si>
    <t>MŠ Kubranská - energetický audit</t>
  </si>
  <si>
    <t>MŠ Opatovská - energetický audit</t>
  </si>
  <si>
    <t>MŠ Šafárikova - energetický audit</t>
  </si>
  <si>
    <t>MŠ Turkovej - vypracovanie PD</t>
  </si>
  <si>
    <t>MŠ Šmidkého - vypracovanie PD</t>
  </si>
  <si>
    <t>MŠ Halašu - vypracovanie PD</t>
  </si>
  <si>
    <t>MŠ Šafárikova</t>
  </si>
  <si>
    <t>Dohoda o reštr. záv.2010 SLSP</t>
  </si>
  <si>
    <t>MŠ Stromova</t>
  </si>
  <si>
    <t>MŠ Kubranská rekonštrukcia strechy</t>
  </si>
  <si>
    <t>MČ Západ - MŠ Medňanského - dopravné ihrisko</t>
  </si>
  <si>
    <t>MŠ Legionárska - nové moduly</t>
  </si>
  <si>
    <t>MŠ Šmidkého - rekonštrukcia terasy,balkóny</t>
  </si>
  <si>
    <t>MŠ Šmidkého - výmena dverí</t>
  </si>
  <si>
    <t>MŠ Stromova - rekonštrukcia sociálnych zariadení</t>
  </si>
  <si>
    <t>MŠ Opatovská - rekonštrukcia okien, 1.pavilón</t>
  </si>
  <si>
    <t>MŠ Na dolinách - rekonštrukcia okien</t>
  </si>
  <si>
    <t>MČ Juh - MŠ J.Halašu - sociálne zariadenia</t>
  </si>
  <si>
    <t>MŠ Legionárska - nevyčerpaná dotácia za rok 2015 - nové moduly</t>
  </si>
  <si>
    <t>MČ Sever - MŠ Švermova - vstupné dvere</t>
  </si>
  <si>
    <t>MŠ Švermova - rekonštrukcia sociálnych zariadení</t>
  </si>
  <si>
    <t>MŠ Považská - rekonštrukcia vchodových dverí</t>
  </si>
  <si>
    <t>Nevyčerpaná dotácia</t>
  </si>
  <si>
    <t>Hmotná núdza - strava</t>
  </si>
  <si>
    <t>1070</t>
  </si>
  <si>
    <t>Základné školy</t>
  </si>
  <si>
    <t>09121</t>
  </si>
  <si>
    <t>09122</t>
  </si>
  <si>
    <t>ZŠ Potočná - sociálne zariadenia</t>
  </si>
  <si>
    <t>09211</t>
  </si>
  <si>
    <t>Dohoda o reštr. záv.2010 ČSOB</t>
  </si>
  <si>
    <t>ZŠ Veľkomoravská - sneholamy</t>
  </si>
  <si>
    <t>MČ Juh - rekonštrukcia plavárne</t>
  </si>
  <si>
    <t>09603</t>
  </si>
  <si>
    <t>1040</t>
  </si>
  <si>
    <t>0921</t>
  </si>
  <si>
    <t>ZŠ Kubranská - vybavenie telocvične</t>
  </si>
  <si>
    <t>09602</t>
  </si>
  <si>
    <t>vybavenie telocvične</t>
  </si>
  <si>
    <t>Voľnočasové vzdelávanie</t>
  </si>
  <si>
    <t>Piaristické gymnázium</t>
  </si>
  <si>
    <t>Sanita ZUŠ</t>
  </si>
  <si>
    <t>CVČ - rekonštrukcia toaliet</t>
  </si>
  <si>
    <t>ZUŠ - pódium</t>
  </si>
  <si>
    <t>Školské jedálne</t>
  </si>
  <si>
    <t>09601</t>
  </si>
  <si>
    <t>ŠJ Vedecko-náučné centrum FUTURUM</t>
  </si>
  <si>
    <t>ŠJ ZŠ FUTURUM</t>
  </si>
  <si>
    <t>ŠJ pri ZŠ AUTIS</t>
  </si>
  <si>
    <t>ŠJ Gymnázium FUTURUM</t>
  </si>
  <si>
    <t>MČ Juh -ZŠ Novomeského - konvektomat</t>
  </si>
  <si>
    <t>Politika vzdelávania</t>
  </si>
  <si>
    <t>Odmeňovanie učiteľov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</si>
  <si>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</si>
  <si>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</si>
  <si>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</si>
  <si>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</si>
  <si>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</si>
  <si>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</si>
  <si>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</si>
  <si>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HK Štart o.z.-účasť družstva v česko-slovenskej súťaži žien WHIL</t>
  </si>
  <si>
    <t>Športová infraštruktúra</t>
  </si>
  <si>
    <t>Športová Hala</t>
  </si>
  <si>
    <t>Futbalový štadión</t>
  </si>
  <si>
    <t>MČ Sever - Futb.štadion Opatová</t>
  </si>
  <si>
    <t>MČ Západ - trávnatá plocha pri FŠ - lapač lôpt</t>
  </si>
  <si>
    <t>Futbalové ihrisko Opatová</t>
  </si>
  <si>
    <t>Futbalový štadion - búracie práce</t>
  </si>
  <si>
    <t>Zimný štadión - kotolňa</t>
  </si>
  <si>
    <t>rekonštrukcia kondenzačnej časti chladenia - zimný štadión</t>
  </si>
  <si>
    <t>Plavárne</t>
  </si>
  <si>
    <t>Dokončenie novej letnej plavárne</t>
  </si>
  <si>
    <t>Plaváreň-energie, stráženie</t>
  </si>
  <si>
    <t>Plaváreň-záv.SLSP staré</t>
  </si>
  <si>
    <t>Plaváreň-záv.SLSP nové</t>
  </si>
  <si>
    <t>Nová letná plaváreň - KR</t>
  </si>
  <si>
    <t>Mobilná ľadová plocha</t>
  </si>
  <si>
    <t>Mobiliár mesta a detské ihrisko</t>
  </si>
  <si>
    <t>MČ Stred - rek.detského ihriska Na Karpatskej ulici</t>
  </si>
  <si>
    <t>MČ Stred -  športový areál Nábrežná ulica</t>
  </si>
  <si>
    <t>Detské ihriská - realizácia</t>
  </si>
  <si>
    <t>MČ Juh - Detské ihrisko vnútroblok Halalovka-M.Bela</t>
  </si>
  <si>
    <t>rekonštrukcia dvoch detských ihrísk MŠ Dúha ul.J.Halašu</t>
  </si>
  <si>
    <t>PROGRAM   9: KULTÚRA</t>
  </si>
  <si>
    <t>Podpora kultúrnych podujatí a činností</t>
  </si>
  <si>
    <t>Grantový program</t>
  </si>
  <si>
    <t>KS Sihoť - Dni Sihote</t>
  </si>
  <si>
    <t>Organizácia kultúrnych podujatí</t>
  </si>
  <si>
    <t>záväzky 2010</t>
  </si>
  <si>
    <t>Podpora kultúrnych stredísk</t>
  </si>
  <si>
    <t>Artkino Metro</t>
  </si>
  <si>
    <t>KS Hviezda - s posunom výťahu</t>
  </si>
  <si>
    <t>Bazovského Galéria</t>
  </si>
  <si>
    <t>PROGRAM  10: ŽIVOTNÉ PROSTREDIE</t>
  </si>
  <si>
    <t>Verejná zeleň</t>
  </si>
  <si>
    <t>Lesopark Brezina</t>
  </si>
  <si>
    <t>0422</t>
  </si>
  <si>
    <t>Hradné bralo</t>
  </si>
  <si>
    <t>MČ Stred - Čerešňový sad v lesoparku Brezina-vybudovanie altánku</t>
  </si>
  <si>
    <t>Odpadové hospodárstvo</t>
  </si>
  <si>
    <t>Zvoz a odvoz odpadu</t>
  </si>
  <si>
    <t>0511</t>
  </si>
  <si>
    <t>Program odpadového hospodárstva</t>
  </si>
  <si>
    <t>MČ Juh Polopodzemné kontajnery ul.Šmidkého 5,7,9,11</t>
  </si>
  <si>
    <t>Ul.Soblahovská - betonová zástena pri smetných nádobách</t>
  </si>
  <si>
    <t>Zneškodňovanie odpadu</t>
  </si>
  <si>
    <t>Skládka Zámostie monitoring</t>
  </si>
  <si>
    <t>Skládka Zámostie</t>
  </si>
  <si>
    <t>kanalizačné systémy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</si>
  <si>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</si>
  <si>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</si>
  <si>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</si>
  <si>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</si>
  <si>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</si>
  <si>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</si>
  <si>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</si>
  <si>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</si>
  <si>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</si>
  <si>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</si>
  <si>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Zdravotné pomôcky</t>
  </si>
  <si>
    <t>Zdravotné pomôcky - vratky do ŠR</t>
  </si>
  <si>
    <t>Nocľaháreň</t>
  </si>
  <si>
    <t>Podpora seniorov</t>
  </si>
  <si>
    <t>Denné centrá pre seniorov</t>
  </si>
  <si>
    <t>1020</t>
  </si>
  <si>
    <t>nájomné</t>
  </si>
  <si>
    <t>Zariadenie pre seniorov</t>
  </si>
  <si>
    <t>vypracovanie PD</t>
  </si>
  <si>
    <t>Kultúrne centrum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</si>
  <si>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</si>
  <si>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</si>
  <si>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</si>
  <si>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</si>
  <si>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</si>
  <si>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</si>
  <si>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</si>
  <si>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</si>
  <si>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Rezerva</t>
  </si>
  <si>
    <t>PROGRAM  12: ROZVOJ MESTA</t>
  </si>
  <si>
    <t>Bývanie</t>
  </si>
  <si>
    <t>Správa bytového fondu</t>
  </si>
  <si>
    <t>Štátny fond rozvoja bývania</t>
  </si>
  <si>
    <t>0610</t>
  </si>
  <si>
    <t>Výstavba RD v súvislosti s MŽT</t>
  </si>
  <si>
    <t>Záväzky 2010</t>
  </si>
  <si>
    <t>Kúpa 48 nájomných bytov</t>
  </si>
  <si>
    <t>PROGRAM   2: PROPAGÁCIA A CR</t>
  </si>
  <si>
    <t>Členské príspevky</t>
  </si>
  <si>
    <t>Členské do OOCR</t>
  </si>
  <si>
    <t>Skutočnosť k 31.12.2015</t>
  </si>
  <si>
    <t>Skutočnosť k 31.12.2014</t>
  </si>
  <si>
    <t>Očakávaná skutočnosť k 2016</t>
  </si>
  <si>
    <t>Príjmy1</t>
  </si>
  <si>
    <t>Výdavky1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</si>
  <si>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</si>
  <si>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</si>
  <si>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</si>
  <si>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</si>
  <si>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</si>
  <si>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</si>
  <si>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</si>
  <si>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</si>
  <si>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</si>
  <si>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</si>
  <si>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</si>
  <si>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</si>
  <si>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</si>
  <si>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</si>
  <si>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</si>
  <si>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</si>
  <si>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</si>
  <si>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</si>
  <si>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</si>
  <si>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</si>
  <si>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</si>
  <si>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</si>
  <si>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</si>
  <si>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</si>
  <si>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</si>
  <si>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</si>
  <si>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</si>
  <si>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</si>
  <si>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</si>
  <si>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</si>
  <si>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</si>
  <si>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</si>
  <si>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</si>
  <si>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</si>
  <si>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</si>
  <si>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</si>
  <si>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</si>
  <si>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</si>
  <si>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Dotácie na strategické športy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</si>
  <si>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</si>
  <si>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</si>
  <si>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</si>
  <si>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</si>
  <si>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</si>
  <si>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</si>
  <si>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</si>
  <si>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MČ Sever - HK Dukla n.o. - dotácia na nákup prístrojov</t>
  </si>
  <si>
    <t>KO BoxClub Galanta - dotácia na podujatie Gentleman´s BOXing Nigt</t>
  </si>
  <si>
    <t>Ostatné dotácie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</si>
  <si>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</si>
  <si>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</si>
  <si>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</si>
  <si>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</si>
  <si>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</si>
  <si>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</si>
  <si>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</si>
  <si>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</si>
  <si>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</si>
  <si>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</si>
  <si>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Refugium n.o. - Hospic milosrdných sestier v Trenčíne dotácia na činnosť</t>
  </si>
  <si>
    <t>Slovenský zväz telesne postihnutých</t>
  </si>
  <si>
    <t>Motorové vozidlo</t>
  </si>
  <si>
    <t>Pohoda Festival s.r.o. - Festival Pohoda</t>
  </si>
  <si>
    <t>SHŠ Wagus n.o. - Trenčianske historické slávnosti</t>
  </si>
  <si>
    <t>Horyzonty o.z. - HoryZonty</t>
  </si>
  <si>
    <t>Kolomaž o.z. - Sám na javisku</t>
  </si>
  <si>
    <t>Spolok Dychová hudba Textilanka - činnosť</t>
  </si>
  <si>
    <t>LampArt - činnosť</t>
  </si>
  <si>
    <t>Artfilm n.o. - Artfilm</t>
  </si>
  <si>
    <t>SHŠ Wagus n.o. - Trenčianske hradné slávnosti</t>
  </si>
  <si>
    <t>Beňadik n.f. - Mariánsky koncert</t>
  </si>
  <si>
    <t>Rendek Holding s.r.o. - Trenčianske Hradosti</t>
  </si>
  <si>
    <t>OZ Trenčianska jazzova spol. - Jazz pod hradom</t>
  </si>
  <si>
    <t>ATYP o.z. - Splanekor</t>
  </si>
  <si>
    <t>Kluby vojenskej histórie - Dukliansky priesmyk</t>
  </si>
  <si>
    <t>Trenčianska nadácia - rôzne</t>
  </si>
  <si>
    <t>Hala  o.z. - HALA 2015</t>
  </si>
  <si>
    <t>AS Trenčín a.s. - Hviezdy deťom</t>
  </si>
  <si>
    <t>Klub priateľov vážnej hudby v Trenčíne oz - Múzy pod hradom</t>
  </si>
  <si>
    <t>Trenčan - FS Gymnázia Ľ.Štúra - Krst CD kolied</t>
  </si>
  <si>
    <t>FS Nadšenci - rôzne</t>
  </si>
  <si>
    <t xml:space="preserve">      </t>
  </si>
  <si>
    <t>Bežný rozpočet</t>
  </si>
  <si>
    <t>Kapitálový rozpočet</t>
  </si>
  <si>
    <t>453: Prevod hospodárskeho výsledku za predchádzajúci rok</t>
  </si>
  <si>
    <t>454: Prevod z rezervného fondu</t>
  </si>
  <si>
    <t>453: Zostatok prostriedkov z roku 2015-  dočerpanie úveru z roku 2015</t>
  </si>
  <si>
    <t>513: Prijatie dlhodobého úveru</t>
  </si>
  <si>
    <t>455: Postúpené pohľadávky z MHSL m.r.o.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</si>
  <si>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</si>
  <si>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</si>
  <si>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</si>
  <si>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</si>
  <si>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453: Nevyčerpané dotácie z prechádzajúceho roku</t>
  </si>
  <si>
    <t>455: Odplata za postúpenú pohľadávku - Tebys</t>
  </si>
  <si>
    <t>821: ČSOB a.s. - istina z dohody o reštrukturalizácii dlhu</t>
  </si>
  <si>
    <t>514: Prijatie úveru zo ŠFRB</t>
  </si>
  <si>
    <t>Klimatizácia podkrovie Mierové nám.2</t>
  </si>
  <si>
    <t>Kúpa objektov</t>
  </si>
  <si>
    <t>Náhrady PN, odstupné, odchodné</t>
  </si>
  <si>
    <t>Transfery nefinančným subjektom a transfery</t>
  </si>
  <si>
    <t>Očakávaná skutočnosť kapitálového rozpočtu 2016</t>
  </si>
  <si>
    <t>Zimný štadión - rekonštrukcia</t>
  </si>
  <si>
    <t>Detské ihrisko</t>
  </si>
  <si>
    <t>Fond na podporu umenia - dotácia na Festival Pri trenčianskej bráne</t>
  </si>
  <si>
    <t>Fond na podporu umenia - dotácia na projekt Nesiem vám novinu</t>
  </si>
  <si>
    <t>PD - úprava parkoviska na Opatovskej ulici pre MHD</t>
  </si>
  <si>
    <t>Rekonštrukcia schodov na ul.Šmidkého vs.Halašu</t>
  </si>
  <si>
    <t>MČ Sever - ul. Potočná - rekonštrukcia chodníkov a oporného múru</t>
  </si>
  <si>
    <t>Rekonštrukcia MK Hricku - a časti Kubranskej pod kostolom</t>
  </si>
  <si>
    <t>ZŠ Novomeského - PD - elektroinštalácia telocvične</t>
  </si>
  <si>
    <t>Clover Media s.r.o. - Materiálno technické zabezpečenie Happy Band Orchestra</t>
  </si>
  <si>
    <t>Centrum pre rodinu o.z. - dotácia na činnosť</t>
  </si>
  <si>
    <t>Z parkovného</t>
  </si>
  <si>
    <t>Azylový dom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</si>
  <si>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</si>
  <si>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</si>
  <si>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</si>
  <si>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</si>
  <si>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</si>
  <si>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</si>
  <si>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</si>
  <si>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</si>
  <si>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</si>
  <si>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</si>
  <si>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</si>
  <si>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</si>
  <si>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</si>
  <si>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</si>
  <si>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</si>
  <si>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</si>
  <si>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</si>
  <si>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</si>
  <si>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</si>
  <si>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</si>
  <si>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</si>
  <si>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</si>
  <si>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</si>
  <si>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Rezerva na havarijné stavy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</si>
  <si>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</si>
  <si>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</si>
  <si>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</si>
  <si>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</si>
  <si>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</si>
  <si>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</si>
  <si>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</si>
  <si>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</si>
  <si>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</si>
  <si>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</si>
  <si>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</si>
  <si>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Trafostanica - prekládka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</si>
  <si>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</si>
  <si>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</si>
  <si>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</si>
  <si>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</si>
  <si>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</si>
  <si>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</si>
  <si>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MČ Západ - ul.Okružná IA16</t>
  </si>
  <si>
    <t>Mestský zásah Stred -úprava podchodu na Noviny pre Perle IA16</t>
  </si>
  <si>
    <t>Mestský zásah Sever - úprava hrádze na Sihoti IA16</t>
  </si>
  <si>
    <t>MČ Sever - PD komunikácia Volavé IA16</t>
  </si>
  <si>
    <t>Chodník pred Poľom IA16</t>
  </si>
  <si>
    <t>Nozdrkovský chodník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</si>
  <si>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</si>
  <si>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</si>
  <si>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</si>
  <si>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MČ Juh - rekonštrukcia chodníka od Južanky k MŠ Šmidkého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</si>
  <si>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</si>
  <si>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</si>
  <si>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</si>
  <si>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</si>
  <si>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</si>
  <si>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Cyklotrasy IA16</t>
  </si>
  <si>
    <t>MK Odbojárov a Pod čerešňami IA16</t>
  </si>
  <si>
    <t>Splácanie úrokov a ostatné platby súvisiace s úverom, pôžičkou, návratnou fin.výpomocou a finančným prenájmom</t>
  </si>
  <si>
    <t>Recyklačný fond</t>
  </si>
  <si>
    <t>PD - budova MHSL -  zníženie energetickej náročnosti budovy IA16</t>
  </si>
  <si>
    <t>Kosačka/záhradný traktor, umývací stroj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</si>
  <si>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</si>
  <si>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</si>
  <si>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</si>
  <si>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</si>
  <si>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</si>
  <si>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</si>
  <si>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</si>
  <si>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</si>
  <si>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</si>
  <si>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Detské ihrisko Nábrežná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</si>
  <si>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</si>
  <si>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</si>
  <si>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</si>
  <si>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</si>
  <si>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</si>
  <si>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</si>
  <si>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</si>
  <si>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</si>
  <si>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</si>
  <si>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</si>
  <si>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</si>
  <si>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</si>
  <si>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</si>
  <si>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</si>
  <si>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</si>
  <si>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Kotolňa</t>
  </si>
  <si>
    <t>Prekládka VN kábla</t>
  </si>
  <si>
    <t>Rekonštrukcia vodoinštalácie</t>
  </si>
  <si>
    <t>Rekonštr.el.vedenia v telocvični</t>
  </si>
  <si>
    <t>Prípojka vody a elektrickej energie</t>
  </si>
  <si>
    <t>Traktor</t>
  </si>
  <si>
    <t>Športový areál</t>
  </si>
  <si>
    <t>Rozvojový projekt rekonštrukcia telocvične IA16</t>
  </si>
  <si>
    <t xml:space="preserve"> PD-strecha+múr - IA z r.2015</t>
  </si>
  <si>
    <t>PD - elektroinštalácia telocvične</t>
  </si>
  <si>
    <t>ZŠ Východná - strecha</t>
  </si>
  <si>
    <t>MČ Juh - športové ihrisko IA16 (57.500 €)</t>
  </si>
  <si>
    <t>MČ Juh - PD - športové ihrisko</t>
  </si>
  <si>
    <t>Rozvojovoý projekt rekonštrukcia telocvične IA16</t>
  </si>
  <si>
    <t>Stavebné úpravy spojovacej chodby - IA 16</t>
  </si>
  <si>
    <t>Nové parkovacie miesta (Sever + Juh)</t>
  </si>
  <si>
    <t>PD námestie Rozkvet</t>
  </si>
  <si>
    <t>Oprava povrchu hrádze</t>
  </si>
  <si>
    <t>Výmena okien</t>
  </si>
  <si>
    <t>Obnova fasády</t>
  </si>
  <si>
    <t>Bunky Kasárenská - sťahovanie</t>
  </si>
  <si>
    <t>Porealizačné zameranie stavby požiarnej zbrojnice Opatová</t>
  </si>
  <si>
    <t>MČ Sever - Úprava verejného priestranstva v časti Opatová</t>
  </si>
  <si>
    <t>MČ Sever - Úprava verejného priestranstva v časti Pred Poľom</t>
  </si>
  <si>
    <t>MČ Sever - Úprava verejného priestranstva v časti Kubra IA16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</si>
  <si>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</si>
  <si>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</si>
  <si>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</si>
  <si>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</si>
  <si>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</si>
  <si>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</si>
  <si>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</si>
  <si>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</si>
  <si>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</si>
  <si>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</si>
  <si>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</si>
  <si>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Rozpočet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</si>
  <si>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</si>
  <si>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</si>
  <si>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MČ Stred - Detské ihrisko Karpatská IA16 (42.000 €)</t>
  </si>
  <si>
    <t>Rozšírenie parkoviska pri MŠ Šafárikova IA16</t>
  </si>
  <si>
    <t>Normotvorná činnosť mesta</t>
  </si>
  <si>
    <t>Komunikácia s verej.inštitúciami v mene mesta</t>
  </si>
  <si>
    <t>Kontrola činnosti samosprávy</t>
  </si>
  <si>
    <t>Príjmy</t>
  </si>
  <si>
    <t>Výdavky</t>
  </si>
  <si>
    <t>Program   2: PROPAGÁCIA A CESTOVNÝ RUCH</t>
  </si>
  <si>
    <t>Program   8: ŠPORT a MLÁDEŽ</t>
  </si>
  <si>
    <t>Prebytok/Schodok kapitálového rozpočtu</t>
  </si>
  <si>
    <t>Prebytok/Schodok rozpočtu spolu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</si>
  <si>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</si>
  <si>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</si>
  <si>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</si>
  <si>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</si>
  <si>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PD -Cyklotrasy</t>
  </si>
  <si>
    <t>Vybudovanie časti cyklotrasy Juh - centrum IA16</t>
  </si>
  <si>
    <t>Mestský  zásah MČ Stred - Námestie študentov</t>
  </si>
  <si>
    <t xml:space="preserve">821: Z ostatných úverov,pôžičiek a návratných finančných výpomocí </t>
  </si>
  <si>
    <t>PROGRAM   1: MANAŽMENT A PLÁNOVANIE</t>
  </si>
  <si>
    <t>Programový rozpočet Mesta Trenčín na rok 2017 schválený uznesením č. 745 na MsZ dňa 14.12.2016</t>
  </si>
  <si>
    <t>Rozpočet 2017</t>
  </si>
  <si>
    <t>Bežný rozpočet 2017</t>
  </si>
  <si>
    <t>Kapitálový rozpočet 2017</t>
  </si>
  <si>
    <t>Rozpoče 2017 spolu</t>
  </si>
  <si>
    <t>Rozpočet 2018</t>
  </si>
  <si>
    <t>Rozpočet 2019</t>
  </si>
  <si>
    <t>Programový rozpočet Mesta Trenčín na roky                2017 -2019</t>
  </si>
  <si>
    <t>Rozpočet 2017 spolu</t>
  </si>
  <si>
    <t>Rozpočet 2018 - bežné výdavky</t>
  </si>
  <si>
    <t>Rozpočet 2019 - bežné výdavky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</si>
  <si>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</si>
  <si>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</si>
  <si>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</si>
  <si>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</si>
  <si>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Rozšírenie cintorína v Zlatovciach</t>
  </si>
  <si>
    <t>Komunikácie cintorína Kubra</t>
  </si>
  <si>
    <t>Rekonštrukcia komunikácií, obrubníkov a odvodnenia cintorína na Juhu</t>
  </si>
  <si>
    <t>Rekonštrukcia komunikácií v časti Stred IA16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</si>
  <si>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</si>
  <si>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</si>
  <si>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</si>
  <si>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</si>
  <si>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Sprístupnenie južného opevnenia Trenčianskeho hradu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</si>
  <si>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</si>
  <si>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</si>
  <si>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</si>
  <si>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</si>
  <si>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</si>
  <si>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</si>
  <si>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prekládka (gr.-kat.kostol)</t>
  </si>
  <si>
    <t>Trafostanica - prekládka IA16 (Mládežnícka ul.)</t>
  </si>
  <si>
    <t>Chodník Čerešňový sad IA16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</si>
</sst>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4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7"/>
      <color indexed="9"/>
      <name val="Arial CE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26"/>
      <color rgb="FFC00000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9"/>
      <name val="Arial CE"/>
      <charset val="238"/>
    </font>
    <font>
      <sz val="10"/>
      <color indexed="9"/>
      <name val="Arial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b/>
      <sz val="11"/>
      <color indexed="9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/>
  </cellStyleXfs>
  <cellXfs count="358">
    <xf numFmtId="0" fontId="0" fillId="0" borderId="0" xfId="0"/>
    <xf numFmtId="0" fontId="5" fillId="6" borderId="10" xfId="0" applyFont="1" applyFill="1" applyBorder="1"/>
    <xf numFmtId="3" fontId="5" fillId="6" borderId="10" xfId="0" applyNumberFormat="1" applyFont="1" applyFill="1" applyBorder="1"/>
    <xf numFmtId="0" fontId="6" fillId="7" borderId="11" xfId="0" applyFont="1" applyFill="1" applyBorder="1" applyAlignment="1"/>
    <xf numFmtId="3" fontId="6" fillId="7" borderId="11" xfId="0" applyNumberFormat="1" applyFont="1" applyFill="1" applyBorder="1" applyAlignment="1"/>
    <xf numFmtId="0" fontId="7" fillId="8" borderId="12" xfId="0" applyFont="1" applyFill="1" applyBorder="1"/>
    <xf numFmtId="3" fontId="7" fillId="8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3" fontId="7" fillId="9" borderId="12" xfId="0" applyNumberFormat="1" applyFont="1" applyFill="1" applyBorder="1"/>
    <xf numFmtId="3" fontId="11" fillId="9" borderId="12" xfId="0" applyNumberFormat="1" applyFont="1" applyFill="1" applyBorder="1"/>
    <xf numFmtId="3" fontId="9" fillId="0" borderId="4" xfId="0" applyNumberFormat="1" applyFont="1" applyBorder="1"/>
    <xf numFmtId="0" fontId="12" fillId="10" borderId="4" xfId="0" applyFont="1" applyFill="1" applyBorder="1" applyAlignment="1">
      <alignment vertical="center"/>
    </xf>
    <xf numFmtId="3" fontId="12" fillId="10" borderId="4" xfId="0" applyNumberFormat="1" applyFont="1" applyFill="1" applyBorder="1" applyAlignment="1">
      <alignment vertical="center"/>
    </xf>
    <xf numFmtId="0" fontId="10" fillId="0" borderId="4" xfId="0" applyFont="1" applyBorder="1"/>
    <xf numFmtId="0" fontId="13" fillId="4" borderId="6" xfId="0" applyFont="1" applyFill="1" applyBorder="1"/>
    <xf numFmtId="3" fontId="10" fillId="0" borderId="4" xfId="0" applyNumberFormat="1" applyFont="1" applyBorder="1"/>
    <xf numFmtId="0" fontId="13" fillId="4" borderId="0" xfId="0" applyFont="1" applyFill="1" applyBorder="1"/>
    <xf numFmtId="0" fontId="13" fillId="4" borderId="12" xfId="0" applyFont="1" applyFill="1" applyBorder="1"/>
    <xf numFmtId="0" fontId="14" fillId="7" borderId="14" xfId="0" applyFont="1" applyFill="1" applyBorder="1"/>
    <xf numFmtId="3" fontId="14" fillId="7" borderId="14" xfId="0" applyNumberFormat="1" applyFont="1" applyFill="1" applyBorder="1"/>
    <xf numFmtId="0" fontId="8" fillId="0" borderId="12" xfId="0" applyFont="1" applyFill="1" applyBorder="1"/>
    <xf numFmtId="0" fontId="15" fillId="0" borderId="12" xfId="0" applyFont="1" applyBorder="1"/>
    <xf numFmtId="0" fontId="17" fillId="6" borderId="10" xfId="0" applyFont="1" applyFill="1" applyBorder="1"/>
    <xf numFmtId="0" fontId="17" fillId="7" borderId="11" xfId="0" applyFont="1" applyFill="1" applyBorder="1" applyAlignment="1"/>
    <xf numFmtId="0" fontId="17" fillId="8" borderId="12" xfId="0" applyFont="1" applyFill="1" applyBorder="1"/>
    <xf numFmtId="0" fontId="17" fillId="0" borderId="12" xfId="0" applyFont="1" applyBorder="1"/>
    <xf numFmtId="0" fontId="18" fillId="0" borderId="12" xfId="0" applyFont="1" applyBorder="1"/>
    <xf numFmtId="0" fontId="19" fillId="0" borderId="12" xfId="0" applyFont="1" applyBorder="1"/>
    <xf numFmtId="0" fontId="17" fillId="0" borderId="12" xfId="0" applyFont="1" applyFill="1" applyBorder="1"/>
    <xf numFmtId="0" fontId="18" fillId="0" borderId="4" xfId="0" applyFont="1" applyBorder="1"/>
    <xf numFmtId="0" fontId="20" fillId="10" borderId="4" xfId="0" applyFont="1" applyFill="1" applyBorder="1" applyAlignment="1">
      <alignment vertical="center"/>
    </xf>
    <xf numFmtId="0" fontId="21" fillId="0" borderId="0" xfId="0" applyFont="1"/>
    <xf numFmtId="0" fontId="19" fillId="0" borderId="4" xfId="0" applyFont="1" applyBorder="1"/>
    <xf numFmtId="0" fontId="22" fillId="7" borderId="14" xfId="0" applyFont="1" applyFill="1" applyBorder="1"/>
    <xf numFmtId="0" fontId="18" fillId="0" borderId="12" xfId="0" applyFont="1" applyFill="1" applyBorder="1" applyAlignment="1">
      <alignment horizontal="center"/>
    </xf>
    <xf numFmtId="3" fontId="28" fillId="10" borderId="12" xfId="0" applyNumberFormat="1" applyFont="1" applyFill="1" applyBorder="1" applyAlignment="1">
      <alignment vertical="center"/>
    </xf>
    <xf numFmtId="0" fontId="29" fillId="6" borderId="12" xfId="0" applyFont="1" applyFill="1" applyBorder="1" applyAlignment="1"/>
    <xf numFmtId="3" fontId="29" fillId="6" borderId="12" xfId="0" applyNumberFormat="1" applyFont="1" applyFill="1" applyBorder="1" applyAlignment="1"/>
    <xf numFmtId="0" fontId="30" fillId="15" borderId="12" xfId="0" applyFont="1" applyFill="1" applyBorder="1" applyAlignment="1"/>
    <xf numFmtId="3" fontId="30" fillId="15" borderId="12" xfId="0" applyNumberFormat="1" applyFont="1" applyFill="1" applyBorder="1" applyAlignment="1"/>
    <xf numFmtId="0" fontId="6" fillId="16" borderId="12" xfId="0" applyFont="1" applyFill="1" applyBorder="1"/>
    <xf numFmtId="3" fontId="6" fillId="16" borderId="12" xfId="0" applyNumberFormat="1" applyFont="1" applyFill="1" applyBorder="1"/>
    <xf numFmtId="0" fontId="8" fillId="7" borderId="12" xfId="0" applyFont="1" applyFill="1" applyBorder="1"/>
    <xf numFmtId="3" fontId="8" fillId="7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21" xfId="0" applyFont="1" applyBorder="1"/>
    <xf numFmtId="0" fontId="10" fillId="0" borderId="22" xfId="0" applyFont="1" applyBorder="1"/>
    <xf numFmtId="0" fontId="10" fillId="0" borderId="10" xfId="0" applyFont="1" applyBorder="1"/>
    <xf numFmtId="49" fontId="8" fillId="0" borderId="12" xfId="0" applyNumberFormat="1" applyFont="1" applyBorder="1"/>
    <xf numFmtId="0" fontId="8" fillId="0" borderId="21" xfId="0" applyFont="1" applyFill="1" applyBorder="1"/>
    <xf numFmtId="0" fontId="8" fillId="0" borderId="22" xfId="0" applyFont="1" applyFill="1" applyBorder="1"/>
    <xf numFmtId="0" fontId="9" fillId="0" borderId="21" xfId="0" applyFont="1" applyBorder="1"/>
    <xf numFmtId="0" fontId="9" fillId="0" borderId="22" xfId="0" applyFont="1" applyBorder="1"/>
    <xf numFmtId="0" fontId="9" fillId="0" borderId="10" xfId="0" applyFont="1" applyBorder="1"/>
    <xf numFmtId="0" fontId="0" fillId="0" borderId="12" xfId="0" applyBorder="1"/>
    <xf numFmtId="3" fontId="25" fillId="14" borderId="29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0" fillId="0" borderId="25" xfId="0" applyNumberFormat="1" applyBorder="1"/>
    <xf numFmtId="0" fontId="31" fillId="6" borderId="12" xfId="0" applyFont="1" applyFill="1" applyBorder="1"/>
    <xf numFmtId="0" fontId="36" fillId="6" borderId="21" xfId="0" applyFont="1" applyFill="1" applyBorder="1"/>
    <xf numFmtId="3" fontId="36" fillId="6" borderId="10" xfId="0" applyNumberFormat="1" applyFont="1" applyFill="1" applyBorder="1"/>
    <xf numFmtId="3" fontId="36" fillId="6" borderId="12" xfId="0" applyNumberFormat="1" applyFont="1" applyFill="1" applyBorder="1"/>
    <xf numFmtId="3" fontId="36" fillId="6" borderId="30" xfId="0" applyNumberFormat="1" applyFont="1" applyFill="1" applyBorder="1"/>
    <xf numFmtId="0" fontId="13" fillId="0" borderId="12" xfId="0" applyFont="1" applyBorder="1" applyAlignment="1"/>
    <xf numFmtId="0" fontId="37" fillId="0" borderId="21" xfId="0" applyFont="1" applyBorder="1" applyAlignment="1"/>
    <xf numFmtId="3" fontId="38" fillId="0" borderId="12" xfId="0" applyNumberFormat="1" applyFont="1" applyBorder="1" applyAlignment="1"/>
    <xf numFmtId="3" fontId="38" fillId="0" borderId="10" xfId="0" applyNumberFormat="1" applyFont="1" applyBorder="1" applyAlignment="1"/>
    <xf numFmtId="3" fontId="28" fillId="19" borderId="12" xfId="0" applyNumberFormat="1" applyFont="1" applyFill="1" applyBorder="1" applyAlignment="1"/>
    <xf numFmtId="0" fontId="41" fillId="4" borderId="12" xfId="0" applyFont="1" applyFill="1" applyBorder="1" applyAlignment="1"/>
    <xf numFmtId="3" fontId="42" fillId="4" borderId="12" xfId="0" applyNumberFormat="1" applyFont="1" applyFill="1" applyBorder="1" applyAlignment="1"/>
    <xf numFmtId="0" fontId="42" fillId="4" borderId="21" xfId="0" applyFont="1" applyFill="1" applyBorder="1" applyAlignment="1"/>
    <xf numFmtId="0" fontId="0" fillId="0" borderId="22" xfId="0" applyBorder="1" applyAlignment="1"/>
    <xf numFmtId="0" fontId="0" fillId="0" borderId="10" xfId="0" applyBorder="1" applyAlignment="1"/>
    <xf numFmtId="3" fontId="43" fillId="10" borderId="14" xfId="0" applyNumberFormat="1" applyFont="1" applyFill="1" applyBorder="1" applyAlignment="1"/>
    <xf numFmtId="3" fontId="44" fillId="20" borderId="12" xfId="0" applyNumberFormat="1" applyFont="1" applyFill="1" applyBorder="1"/>
    <xf numFmtId="3" fontId="44" fillId="20" borderId="12" xfId="0" applyNumberFormat="1" applyFont="1" applyFill="1" applyBorder="1" applyAlignment="1"/>
    <xf numFmtId="0" fontId="40" fillId="19" borderId="31" xfId="0" applyFont="1" applyFill="1" applyBorder="1" applyAlignment="1"/>
    <xf numFmtId="3" fontId="28" fillId="19" borderId="31" xfId="0" applyNumberFormat="1" applyFont="1" applyFill="1" applyBorder="1" applyAlignment="1"/>
    <xf numFmtId="3" fontId="44" fillId="20" borderId="31" xfId="0" applyNumberFormat="1" applyFont="1" applyFill="1" applyBorder="1" applyAlignment="1"/>
    <xf numFmtId="0" fontId="10" fillId="9" borderId="12" xfId="0" applyFont="1" applyFill="1" applyBorder="1"/>
    <xf numFmtId="0" fontId="10" fillId="9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10" borderId="12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6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47" fillId="0" borderId="12" xfId="0" applyNumberFormat="1" applyFont="1" applyBorder="1"/>
    <xf numFmtId="0" fontId="46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center"/>
    </xf>
    <xf numFmtId="3" fontId="49" fillId="20" borderId="14" xfId="0" applyNumberFormat="1" applyFont="1" applyFill="1" applyBorder="1" applyAlignment="1"/>
    <xf numFmtId="0" fontId="50" fillId="0" borderId="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3" fontId="42" fillId="0" borderId="12" xfId="0" applyNumberFormat="1" applyFont="1" applyFill="1" applyBorder="1" applyAlignment="1"/>
    <xf numFmtId="0" fontId="6" fillId="16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3" fontId="25" fillId="18" borderId="27" xfId="0" applyNumberFormat="1" applyFont="1" applyFill="1" applyBorder="1" applyAlignment="1">
      <alignment horizontal="center" vertical="center" wrapText="1"/>
    </xf>
    <xf numFmtId="3" fontId="25" fillId="14" borderId="27" xfId="0" applyNumberFormat="1" applyFont="1" applyFill="1" applyBorder="1" applyAlignment="1">
      <alignment horizontal="center" vertical="center" wrapText="1"/>
    </xf>
    <xf numFmtId="3" fontId="25" fillId="3" borderId="27" xfId="0" applyNumberFormat="1" applyFont="1" applyFill="1" applyBorder="1" applyAlignment="1">
      <alignment horizontal="center" vertical="center" wrapText="1"/>
    </xf>
    <xf numFmtId="3" fontId="25" fillId="3" borderId="28" xfId="0" applyNumberFormat="1" applyFont="1" applyFill="1" applyBorder="1" applyAlignment="1">
      <alignment horizontal="center" vertical="center" wrapText="1"/>
    </xf>
    <xf numFmtId="3" fontId="25" fillId="20" borderId="27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2" fillId="9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wrapText="1"/>
    </xf>
    <xf numFmtId="3" fontId="46" fillId="0" borderId="12" xfId="0" applyNumberFormat="1" applyFont="1" applyFill="1" applyBorder="1"/>
    <xf numFmtId="0" fontId="9" fillId="9" borderId="12" xfId="0" applyFont="1" applyFill="1" applyBorder="1"/>
    <xf numFmtId="0" fontId="10" fillId="9" borderId="12" xfId="0" applyFont="1" applyFill="1" applyBorder="1" applyAlignment="1">
      <alignment vertical="center" wrapText="1"/>
    </xf>
    <xf numFmtId="0" fontId="8" fillId="9" borderId="12" xfId="0" applyFont="1" applyFill="1" applyBorder="1"/>
    <xf numFmtId="0" fontId="9" fillId="9" borderId="12" xfId="0" applyFont="1" applyFill="1" applyBorder="1" applyAlignment="1">
      <alignment wrapText="1"/>
    </xf>
    <xf numFmtId="3" fontId="30" fillId="26" borderId="12" xfId="0" applyNumberFormat="1" applyFont="1" applyFill="1" applyBorder="1" applyAlignment="1"/>
    <xf numFmtId="3" fontId="36" fillId="27" borderId="12" xfId="0" applyNumberFormat="1" applyFont="1" applyFill="1" applyBorder="1"/>
    <xf numFmtId="3" fontId="36" fillId="27" borderId="10" xfId="0" applyNumberFormat="1" applyFont="1" applyFill="1" applyBorder="1"/>
    <xf numFmtId="0" fontId="41" fillId="4" borderId="0" xfId="0" applyFont="1" applyFill="1" applyBorder="1" applyAlignment="1"/>
    <xf numFmtId="3" fontId="43" fillId="0" borderId="0" xfId="0" applyNumberFormat="1" applyFont="1" applyFill="1" applyBorder="1" applyAlignment="1"/>
    <xf numFmtId="0" fontId="0" fillId="0" borderId="0" xfId="0" applyFill="1" applyBorder="1" applyAlignment="1"/>
    <xf numFmtId="3" fontId="49" fillId="0" borderId="0" xfId="0" applyNumberFormat="1" applyFont="1" applyFill="1" applyBorder="1" applyAlignment="1"/>
    <xf numFmtId="3" fontId="0" fillId="0" borderId="0" xfId="0" applyNumberFormat="1" applyFill="1"/>
    <xf numFmtId="0" fontId="55" fillId="9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/>
    <xf numFmtId="3" fontId="6" fillId="0" borderId="15" xfId="0" applyNumberFormat="1" applyFont="1" applyFill="1" applyBorder="1" applyAlignment="1"/>
    <xf numFmtId="3" fontId="7" fillId="0" borderId="8" xfId="0" applyNumberFormat="1" applyFont="1" applyFill="1" applyBorder="1"/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14" fillId="0" borderId="8" xfId="0" applyNumberFormat="1" applyFont="1" applyFill="1" applyBorder="1"/>
    <xf numFmtId="3" fontId="0" fillId="0" borderId="0" xfId="0" applyNumberForma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vertical="center"/>
    </xf>
    <xf numFmtId="3" fontId="29" fillId="0" borderId="12" xfId="0" applyNumberFormat="1" applyFont="1" applyFill="1" applyBorder="1" applyAlignment="1"/>
    <xf numFmtId="3" fontId="30" fillId="0" borderId="12" xfId="0" applyNumberFormat="1" applyFont="1" applyFill="1" applyBorder="1" applyAlignment="1"/>
    <xf numFmtId="49" fontId="24" fillId="0" borderId="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vertical="center"/>
    </xf>
    <xf numFmtId="3" fontId="29" fillId="0" borderId="8" xfId="0" applyNumberFormat="1" applyFont="1" applyFill="1" applyBorder="1" applyAlignment="1"/>
    <xf numFmtId="3" fontId="30" fillId="0" borderId="8" xfId="0" applyNumberFormat="1" applyFont="1" applyFill="1" applyBorder="1" applyAlignment="1"/>
    <xf numFmtId="49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horizontal="center" vertical="center" wrapText="1"/>
    </xf>
    <xf numFmtId="3" fontId="28" fillId="10" borderId="31" xfId="0" applyNumberFormat="1" applyFont="1" applyFill="1" applyBorder="1" applyAlignment="1">
      <alignment vertical="center"/>
    </xf>
    <xf numFmtId="0" fontId="0" fillId="0" borderId="10" xfId="0" applyBorder="1" applyAlignment="1"/>
    <xf numFmtId="0" fontId="28" fillId="19" borderId="21" xfId="0" applyFont="1" applyFill="1" applyBorder="1" applyAlignment="1"/>
    <xf numFmtId="0" fontId="51" fillId="0" borderId="10" xfId="0" applyFont="1" applyBorder="1" applyAlignment="1"/>
    <xf numFmtId="3" fontId="7" fillId="0" borderId="0" xfId="0" applyNumberFormat="1" applyFont="1"/>
    <xf numFmtId="3" fontId="25" fillId="25" borderId="35" xfId="0" applyNumberFormat="1" applyFont="1" applyFill="1" applyBorder="1" applyAlignment="1">
      <alignment horizontal="center" vertical="center" wrapText="1"/>
    </xf>
    <xf numFmtId="3" fontId="25" fillId="31" borderId="12" xfId="0" applyNumberFormat="1" applyFont="1" applyFill="1" applyBorder="1" applyAlignment="1">
      <alignment horizontal="center" vertical="center" wrapText="1"/>
    </xf>
    <xf numFmtId="3" fontId="25" fillId="32" borderId="36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34" borderId="12" xfId="0" applyNumberFormat="1" applyFont="1" applyFill="1" applyBorder="1" applyAlignment="1">
      <alignment horizontal="center" vertical="center" wrapText="1"/>
    </xf>
    <xf numFmtId="3" fontId="52" fillId="35" borderId="21" xfId="0" applyNumberFormat="1" applyFont="1" applyFill="1" applyBorder="1" applyAlignment="1">
      <alignment horizontal="center" vertical="center" wrapText="1"/>
    </xf>
    <xf numFmtId="3" fontId="52" fillId="33" borderId="35" xfId="0" applyNumberFormat="1" applyFont="1" applyFill="1" applyBorder="1" applyAlignment="1">
      <alignment horizontal="center" vertical="center" wrapText="1"/>
    </xf>
    <xf numFmtId="3" fontId="52" fillId="35" borderId="36" xfId="0" applyNumberFormat="1" applyFont="1" applyFill="1" applyBorder="1" applyAlignment="1">
      <alignment horizontal="center" vertical="center" wrapText="1"/>
    </xf>
    <xf numFmtId="0" fontId="57" fillId="6" borderId="12" xfId="0" applyFont="1" applyFill="1" applyBorder="1" applyAlignment="1">
      <alignment horizontal="center" vertical="center"/>
    </xf>
    <xf numFmtId="0" fontId="59" fillId="6" borderId="21" xfId="0" applyFont="1" applyFill="1" applyBorder="1"/>
    <xf numFmtId="3" fontId="59" fillId="6" borderId="35" xfId="0" applyNumberFormat="1" applyFont="1" applyFill="1" applyBorder="1"/>
    <xf numFmtId="3" fontId="59" fillId="6" borderId="12" xfId="0" applyNumberFormat="1" applyFont="1" applyFill="1" applyBorder="1"/>
    <xf numFmtId="3" fontId="59" fillId="6" borderId="36" xfId="0" applyNumberFormat="1" applyFont="1" applyFill="1" applyBorder="1"/>
    <xf numFmtId="3" fontId="59" fillId="6" borderId="10" xfId="0" applyNumberFormat="1" applyFont="1" applyFill="1" applyBorder="1"/>
    <xf numFmtId="3" fontId="59" fillId="6" borderId="22" xfId="0" applyNumberFormat="1" applyFont="1" applyFill="1" applyBorder="1"/>
    <xf numFmtId="0" fontId="60" fillId="0" borderId="12" xfId="0" applyFont="1" applyBorder="1" applyAlignment="1">
      <alignment horizontal="center" vertical="center"/>
    </xf>
    <xf numFmtId="0" fontId="60" fillId="0" borderId="21" xfId="0" applyFont="1" applyBorder="1" applyAlignment="1"/>
    <xf numFmtId="3" fontId="60" fillId="0" borderId="35" xfId="0" applyNumberFormat="1" applyFont="1" applyFill="1" applyBorder="1" applyAlignment="1"/>
    <xf numFmtId="3" fontId="60" fillId="0" borderId="12" xfId="0" applyNumberFormat="1" applyFont="1" applyFill="1" applyBorder="1" applyAlignment="1"/>
    <xf numFmtId="3" fontId="60" fillId="0" borderId="36" xfId="0" applyNumberFormat="1" applyFont="1" applyFill="1" applyBorder="1" applyAlignment="1"/>
    <xf numFmtId="3" fontId="60" fillId="0" borderId="10" xfId="0" applyNumberFormat="1" applyFont="1" applyFill="1" applyBorder="1" applyAlignment="1"/>
    <xf numFmtId="3" fontId="60" fillId="0" borderId="22" xfId="0" applyNumberFormat="1" applyFont="1" applyFill="1" applyBorder="1" applyAlignment="1"/>
    <xf numFmtId="0" fontId="41" fillId="0" borderId="12" xfId="0" applyFont="1" applyFill="1" applyBorder="1" applyAlignment="1">
      <alignment horizontal="center" vertical="center"/>
    </xf>
    <xf numFmtId="3" fontId="61" fillId="19" borderId="21" xfId="0" applyNumberFormat="1" applyFont="1" applyFill="1" applyBorder="1" applyAlignment="1"/>
    <xf numFmtId="0" fontId="61" fillId="19" borderId="10" xfId="0" applyFont="1" applyFill="1" applyBorder="1" applyAlignment="1"/>
    <xf numFmtId="3" fontId="61" fillId="19" borderId="36" xfId="0" applyNumberFormat="1" applyFont="1" applyFill="1" applyBorder="1" applyAlignment="1"/>
    <xf numFmtId="0" fontId="11" fillId="0" borderId="0" xfId="0" applyFont="1" applyFill="1"/>
    <xf numFmtId="0" fontId="28" fillId="19" borderId="12" xfId="0" applyFont="1" applyFill="1" applyBorder="1" applyAlignment="1"/>
    <xf numFmtId="3" fontId="61" fillId="19" borderId="12" xfId="0" applyNumberFormat="1" applyFont="1" applyFill="1" applyBorder="1" applyAlignment="1"/>
    <xf numFmtId="0" fontId="61" fillId="19" borderId="12" xfId="0" applyFont="1" applyFill="1" applyBorder="1" applyAlignment="1"/>
    <xf numFmtId="0" fontId="51" fillId="0" borderId="12" xfId="0" applyFont="1" applyBorder="1" applyAlignment="1"/>
    <xf numFmtId="0" fontId="0" fillId="0" borderId="12" xfId="0" applyBorder="1" applyAlignment="1"/>
    <xf numFmtId="3" fontId="43" fillId="10" borderId="12" xfId="0" applyNumberFormat="1" applyFont="1" applyFill="1" applyBorder="1" applyAlignment="1"/>
    <xf numFmtId="0" fontId="51" fillId="0" borderId="13" xfId="0" applyFont="1" applyBorder="1" applyAlignment="1"/>
    <xf numFmtId="0" fontId="0" fillId="0" borderId="13" xfId="0" applyBorder="1" applyAlignment="1"/>
    <xf numFmtId="0" fontId="0" fillId="0" borderId="13" xfId="0" applyBorder="1"/>
    <xf numFmtId="3" fontId="43" fillId="10" borderId="21" xfId="0" applyNumberFormat="1" applyFont="1" applyFill="1" applyBorder="1" applyAlignment="1"/>
    <xf numFmtId="3" fontId="43" fillId="10" borderId="10" xfId="0" applyNumberFormat="1" applyFont="1" applyFill="1" applyBorder="1" applyAlignment="1"/>
    <xf numFmtId="0" fontId="28" fillId="19" borderId="35" xfId="0" applyFont="1" applyFill="1" applyBorder="1" applyAlignment="1"/>
    <xf numFmtId="0" fontId="51" fillId="0" borderId="35" xfId="0" applyFont="1" applyBorder="1" applyAlignment="1"/>
    <xf numFmtId="3" fontId="51" fillId="0" borderId="36" xfId="0" applyNumberFormat="1" applyFont="1" applyBorder="1" applyAlignment="1"/>
    <xf numFmtId="0" fontId="0" fillId="0" borderId="35" xfId="0" applyBorder="1" applyAlignment="1"/>
    <xf numFmtId="3" fontId="0" fillId="0" borderId="36" xfId="0" applyNumberFormat="1" applyBorder="1" applyAlignment="1"/>
    <xf numFmtId="3" fontId="43" fillId="10" borderId="35" xfId="0" applyNumberFormat="1" applyFont="1" applyFill="1" applyBorder="1" applyAlignment="1"/>
    <xf numFmtId="3" fontId="43" fillId="10" borderId="36" xfId="0" applyNumberFormat="1" applyFont="1" applyFill="1" applyBorder="1" applyAlignment="1"/>
    <xf numFmtId="0" fontId="61" fillId="19" borderId="35" xfId="0" applyFont="1" applyFill="1" applyBorder="1" applyAlignment="1"/>
    <xf numFmtId="3" fontId="0" fillId="0" borderId="21" xfId="0" applyNumberFormat="1" applyBorder="1" applyAlignment="1"/>
    <xf numFmtId="3" fontId="0" fillId="0" borderId="12" xfId="0" applyNumberFormat="1" applyBorder="1" applyAlignment="1"/>
    <xf numFmtId="3" fontId="51" fillId="0" borderId="21" xfId="0" applyNumberFormat="1" applyFont="1" applyBorder="1" applyAlignment="1"/>
    <xf numFmtId="3" fontId="51" fillId="0" borderId="35" xfId="0" applyNumberFormat="1" applyFont="1" applyBorder="1" applyAlignment="1"/>
    <xf numFmtId="3" fontId="51" fillId="0" borderId="12" xfId="0" applyNumberFormat="1" applyFont="1" applyBorder="1" applyAlignment="1"/>
    <xf numFmtId="3" fontId="0" fillId="0" borderId="35" xfId="0" applyNumberFormat="1" applyBorder="1" applyAlignment="1"/>
    <xf numFmtId="0" fontId="37" fillId="4" borderId="21" xfId="0" applyFont="1" applyFill="1" applyBorder="1" applyAlignment="1"/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24" borderId="4" xfId="0" applyNumberFormat="1" applyFont="1" applyFill="1" applyBorder="1" applyAlignment="1">
      <alignment horizontal="center" vertical="center" wrapText="1"/>
    </xf>
    <xf numFmtId="3" fontId="2" fillId="24" borderId="8" xfId="0" applyNumberFormat="1" applyFont="1" applyFill="1" applyBorder="1" applyAlignment="1">
      <alignment horizontal="center" vertical="center" wrapText="1"/>
    </xf>
    <xf numFmtId="3" fontId="2" fillId="24" borderId="9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49" fontId="24" fillId="11" borderId="21" xfId="0" applyNumberFormat="1" applyFont="1" applyFill="1" applyBorder="1" applyAlignment="1">
      <alignment horizontal="center"/>
    </xf>
    <xf numFmtId="49" fontId="24" fillId="11" borderId="22" xfId="0" applyNumberFormat="1" applyFont="1" applyFill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6" fillId="12" borderId="31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7" fillId="12" borderId="31" xfId="0" applyFont="1" applyFill="1" applyBorder="1" applyAlignment="1">
      <alignment horizontal="center" vertical="center" textRotation="180" wrapText="1"/>
    </xf>
    <xf numFmtId="0" fontId="27" fillId="12" borderId="12" xfId="0" applyFont="1" applyFill="1" applyBorder="1" applyAlignment="1">
      <alignment horizontal="center" vertical="center" textRotation="180" wrapText="1"/>
    </xf>
    <xf numFmtId="0" fontId="27" fillId="12" borderId="16" xfId="0" applyFont="1" applyFill="1" applyBorder="1" applyAlignment="1">
      <alignment horizontal="center" vertical="center" textRotation="180" wrapText="1"/>
    </xf>
    <xf numFmtId="3" fontId="25" fillId="3" borderId="15" xfId="0" applyNumberFormat="1" applyFont="1" applyFill="1" applyBorder="1" applyAlignment="1">
      <alignment horizontal="center" vertical="center" wrapText="1"/>
    </xf>
    <xf numFmtId="3" fontId="25" fillId="3" borderId="17" xfId="0" applyNumberFormat="1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6" borderId="21" xfId="0" applyFont="1" applyFill="1" applyBorder="1" applyAlignment="1"/>
    <xf numFmtId="0" fontId="0" fillId="0" borderId="22" xfId="0" applyBorder="1" applyAlignment="1"/>
    <xf numFmtId="0" fontId="0" fillId="0" borderId="10" xfId="0" applyBorder="1" applyAlignment="1"/>
    <xf numFmtId="0" fontId="30" fillId="15" borderId="21" xfId="0" applyFont="1" applyFill="1" applyBorder="1" applyAlignment="1"/>
    <xf numFmtId="3" fontId="25" fillId="5" borderId="15" xfId="0" applyNumberFormat="1" applyFont="1" applyFill="1" applyBorder="1" applyAlignment="1">
      <alignment horizontal="center" vertical="center" wrapText="1"/>
    </xf>
    <xf numFmtId="3" fontId="25" fillId="5" borderId="17" xfId="0" applyNumberFormat="1" applyFont="1" applyFill="1" applyBorder="1" applyAlignment="1">
      <alignment horizontal="center" vertical="center" wrapText="1"/>
    </xf>
    <xf numFmtId="3" fontId="25" fillId="14" borderId="15" xfId="0" applyNumberFormat="1" applyFont="1" applyFill="1" applyBorder="1" applyAlignment="1">
      <alignment horizontal="center" vertical="center" wrapText="1"/>
    </xf>
    <xf numFmtId="3" fontId="25" fillId="14" borderId="17" xfId="0" applyNumberFormat="1" applyFont="1" applyFill="1" applyBorder="1" applyAlignment="1">
      <alignment horizontal="center" vertical="center" wrapText="1"/>
    </xf>
    <xf numFmtId="3" fontId="2" fillId="22" borderId="8" xfId="0" applyNumberFormat="1" applyFont="1" applyFill="1" applyBorder="1" applyAlignment="1">
      <alignment horizontal="center" vertical="center" wrapText="1"/>
    </xf>
    <xf numFmtId="3" fontId="2" fillId="22" borderId="9" xfId="0" applyNumberFormat="1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/>
    </xf>
    <xf numFmtId="0" fontId="27" fillId="12" borderId="12" xfId="0" applyFont="1" applyFill="1" applyBorder="1" applyAlignment="1">
      <alignment horizontal="center" vertical="center"/>
    </xf>
    <xf numFmtId="0" fontId="27" fillId="12" borderId="16" xfId="0" applyFont="1" applyFill="1" applyBorder="1" applyAlignment="1">
      <alignment horizontal="center" vertical="center"/>
    </xf>
    <xf numFmtId="3" fontId="2" fillId="13" borderId="8" xfId="0" applyNumberFormat="1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3" fontId="25" fillId="29" borderId="12" xfId="0" applyNumberFormat="1" applyFont="1" applyFill="1" applyBorder="1" applyAlignment="1">
      <alignment horizontal="center" vertical="center" wrapText="1"/>
    </xf>
    <xf numFmtId="49" fontId="33" fillId="10" borderId="1" xfId="0" applyNumberFormat="1" applyFont="1" applyFill="1" applyBorder="1" applyAlignment="1">
      <alignment horizontal="center" vertical="center"/>
    </xf>
    <xf numFmtId="49" fontId="33" fillId="10" borderId="3" xfId="0" applyNumberFormat="1" applyFont="1" applyFill="1" applyBorder="1" applyAlignment="1">
      <alignment horizontal="center" vertical="center"/>
    </xf>
    <xf numFmtId="49" fontId="33" fillId="10" borderId="13" xfId="0" applyNumberFormat="1" applyFont="1" applyFill="1" applyBorder="1" applyAlignment="1">
      <alignment horizontal="center" vertical="center"/>
    </xf>
    <xf numFmtId="49" fontId="33" fillId="10" borderId="0" xfId="0" applyNumberFormat="1" applyFont="1" applyFill="1" applyBorder="1" applyAlignment="1">
      <alignment horizontal="center" vertical="center"/>
    </xf>
    <xf numFmtId="49" fontId="33" fillId="10" borderId="5" xfId="0" applyNumberFormat="1" applyFont="1" applyFill="1" applyBorder="1" applyAlignment="1">
      <alignment horizontal="center" vertical="center"/>
    </xf>
    <xf numFmtId="49" fontId="33" fillId="10" borderId="6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wrapText="1"/>
    </xf>
    <xf numFmtId="3" fontId="35" fillId="17" borderId="23" xfId="0" applyNumberFormat="1" applyFont="1" applyFill="1" applyBorder="1" applyAlignment="1">
      <alignment horizontal="center" vertical="center" wrapText="1"/>
    </xf>
    <xf numFmtId="3" fontId="35" fillId="17" borderId="24" xfId="0" applyNumberFormat="1" applyFont="1" applyFill="1" applyBorder="1" applyAlignment="1">
      <alignment horizontal="center" vertical="center" wrapText="1"/>
    </xf>
    <xf numFmtId="3" fontId="35" fillId="17" borderId="6" xfId="0" applyNumberFormat="1" applyFont="1" applyFill="1" applyBorder="1" applyAlignment="1">
      <alignment horizontal="center" vertical="center" wrapText="1"/>
    </xf>
    <xf numFmtId="3" fontId="35" fillId="17" borderId="26" xfId="0" applyNumberFormat="1" applyFont="1" applyFill="1" applyBorder="1" applyAlignment="1">
      <alignment horizontal="center" vertical="center" wrapText="1"/>
    </xf>
    <xf numFmtId="3" fontId="35" fillId="17" borderId="0" xfId="0" applyNumberFormat="1" applyFont="1" applyFill="1" applyBorder="1" applyAlignment="1">
      <alignment horizontal="center" vertical="center" wrapText="1"/>
    </xf>
    <xf numFmtId="3" fontId="35" fillId="17" borderId="25" xfId="0" applyNumberFormat="1" applyFont="1" applyFill="1" applyBorder="1" applyAlignment="1">
      <alignment horizontal="center" vertical="center" wrapText="1"/>
    </xf>
    <xf numFmtId="0" fontId="42" fillId="4" borderId="21" xfId="0" applyFont="1" applyFill="1" applyBorder="1" applyAlignment="1"/>
    <xf numFmtId="0" fontId="51" fillId="0" borderId="22" xfId="0" applyFont="1" applyBorder="1" applyAlignment="1"/>
    <xf numFmtId="0" fontId="51" fillId="0" borderId="10" xfId="0" applyFont="1" applyBorder="1" applyAlignment="1"/>
    <xf numFmtId="0" fontId="28" fillId="19" borderId="5" xfId="0" applyFont="1" applyFill="1" applyBorder="1" applyAlignment="1"/>
    <xf numFmtId="0" fontId="54" fillId="9" borderId="0" xfId="0" applyFont="1" applyFill="1" applyBorder="1" applyAlignment="1">
      <alignment horizontal="left" vertical="center" wrapText="1"/>
    </xf>
    <xf numFmtId="0" fontId="55" fillId="9" borderId="0" xfId="0" applyFont="1" applyFill="1" applyBorder="1" applyAlignment="1">
      <alignment horizontal="left" vertical="center" wrapText="1"/>
    </xf>
    <xf numFmtId="3" fontId="43" fillId="10" borderId="18" xfId="0" applyNumberFormat="1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39" fillId="21" borderId="32" xfId="0" applyFont="1" applyFill="1" applyBorder="1" applyAlignment="1">
      <alignment horizontal="left"/>
    </xf>
    <xf numFmtId="0" fontId="39" fillId="21" borderId="33" xfId="0" applyFont="1" applyFill="1" applyBorder="1" applyAlignment="1">
      <alignment horizontal="left"/>
    </xf>
    <xf numFmtId="0" fontId="39" fillId="21" borderId="34" xfId="0" applyFont="1" applyFill="1" applyBorder="1" applyAlignment="1">
      <alignment horizontal="left"/>
    </xf>
    <xf numFmtId="0" fontId="28" fillId="19" borderId="21" xfId="0" applyFont="1" applyFill="1" applyBorder="1" applyAlignment="1"/>
    <xf numFmtId="3" fontId="57" fillId="23" borderId="4" xfId="0" applyNumberFormat="1" applyFont="1" applyFill="1" applyBorder="1" applyAlignment="1">
      <alignment horizontal="center" vertical="center" wrapText="1"/>
    </xf>
    <xf numFmtId="3" fontId="57" fillId="23" borderId="8" xfId="0" applyNumberFormat="1" applyFont="1" applyFill="1" applyBorder="1" applyAlignment="1">
      <alignment horizontal="center" vertical="center" wrapText="1"/>
    </xf>
    <xf numFmtId="3" fontId="57" fillId="23" borderId="9" xfId="0" applyNumberFormat="1" applyFont="1" applyFill="1" applyBorder="1" applyAlignment="1">
      <alignment horizontal="center" vertical="center" wrapText="1"/>
    </xf>
    <xf numFmtId="49" fontId="56" fillId="28" borderId="12" xfId="0" applyNumberFormat="1" applyFont="1" applyFill="1" applyBorder="1" applyAlignment="1">
      <alignment horizontal="center" vertical="center" wrapText="1"/>
    </xf>
    <xf numFmtId="0" fontId="55" fillId="9" borderId="0" xfId="0" applyFont="1" applyFill="1" applyBorder="1" applyAlignment="1">
      <alignment horizontal="center" vertical="center" wrapText="1"/>
    </xf>
    <xf numFmtId="0" fontId="58" fillId="30" borderId="12" xfId="0" applyFont="1" applyFill="1" applyBorder="1" applyAlignment="1">
      <alignment vertical="center"/>
    </xf>
    <xf numFmtId="0" fontId="58" fillId="30" borderId="21" xfId="0" applyFont="1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0" borderId="21" xfId="0" applyFill="1" applyBorder="1" applyAlignment="1">
      <alignment vertical="center"/>
    </xf>
    <xf numFmtId="3" fontId="28" fillId="30" borderId="38" xfId="0" applyNumberFormat="1" applyFont="1" applyFill="1" applyBorder="1" applyAlignment="1">
      <alignment horizontal="center" vertical="center" wrapText="1"/>
    </xf>
    <xf numFmtId="3" fontId="28" fillId="30" borderId="22" xfId="0" applyNumberFormat="1" applyFont="1" applyFill="1" applyBorder="1" applyAlignment="1">
      <alignment horizontal="center" vertical="center" wrapText="1"/>
    </xf>
    <xf numFmtId="3" fontId="28" fillId="30" borderId="39" xfId="0" applyNumberFormat="1" applyFont="1" applyFill="1" applyBorder="1" applyAlignment="1">
      <alignment horizontal="center" vertical="center" wrapText="1"/>
    </xf>
    <xf numFmtId="3" fontId="28" fillId="30" borderId="6" xfId="0" applyNumberFormat="1" applyFont="1" applyFill="1" applyBorder="1" applyAlignment="1">
      <alignment horizontal="center" vertical="center" wrapText="1"/>
    </xf>
    <xf numFmtId="3" fontId="28" fillId="30" borderId="40" xfId="0" applyNumberFormat="1" applyFont="1" applyFill="1" applyBorder="1" applyAlignment="1">
      <alignment horizontal="center" vertical="center" wrapText="1"/>
    </xf>
    <xf numFmtId="3" fontId="28" fillId="30" borderId="41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left"/>
    </xf>
    <xf numFmtId="0" fontId="54" fillId="9" borderId="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43"/>
  <sheetViews>
    <sheetView tabSelected="1" zoomScaleNormal="100" workbookViewId="0"/>
  </sheetViews>
  <sheetFormatPr defaultRowHeight="15" x14ac:dyDescent="0.25"/>
  <cols>
    <col min="1" max="1" width="0.7109375" customWidth="1"/>
    <col min="2" max="2" width="3.42578125" style="115" customWidth="1"/>
    <col min="3" max="3" width="3.85546875" style="40" customWidth="1"/>
    <col min="4" max="4" width="4.28515625" style="40" customWidth="1"/>
    <col min="5" max="5" width="5.7109375" style="40" customWidth="1"/>
    <col min="6" max="6" width="5.28515625" style="40" customWidth="1"/>
    <col min="7" max="7" width="47.42578125" customWidth="1"/>
    <col min="8" max="9" width="13" style="11" customWidth="1"/>
    <col min="10" max="10" width="12.85546875" style="11" customWidth="1"/>
    <col min="11" max="12" width="13" style="11" customWidth="1"/>
    <col min="244" max="244" width="1.42578125" customWidth="1"/>
    <col min="245" max="245" width="4.5703125" customWidth="1"/>
    <col min="246" max="246" width="5.140625" customWidth="1"/>
    <col min="247" max="247" width="4" customWidth="1"/>
    <col min="248" max="248" width="6.85546875" customWidth="1"/>
    <col min="249" max="249" width="9.7109375" customWidth="1"/>
    <col min="250" max="250" width="45.7109375" customWidth="1"/>
    <col min="251" max="251" width="13" customWidth="1"/>
    <col min="252" max="252" width="11.5703125" customWidth="1"/>
    <col min="253" max="253" width="12.85546875" customWidth="1"/>
    <col min="254" max="254" width="0.42578125" customWidth="1"/>
    <col min="255" max="255" width="1.85546875" customWidth="1"/>
    <col min="256" max="257" width="13.140625" customWidth="1"/>
    <col min="258" max="258" width="13.28515625" customWidth="1"/>
    <col min="259" max="259" width="12.7109375" customWidth="1"/>
    <col min="500" max="500" width="1.42578125" customWidth="1"/>
    <col min="501" max="501" width="4.5703125" customWidth="1"/>
    <col min="502" max="502" width="5.140625" customWidth="1"/>
    <col min="503" max="503" width="4" customWidth="1"/>
    <col min="504" max="504" width="6.85546875" customWidth="1"/>
    <col min="505" max="505" width="9.7109375" customWidth="1"/>
    <col min="506" max="506" width="45.7109375" customWidth="1"/>
    <col min="507" max="507" width="13" customWidth="1"/>
    <col min="508" max="508" width="11.5703125" customWidth="1"/>
    <col min="509" max="509" width="12.85546875" customWidth="1"/>
    <col min="510" max="510" width="0.42578125" customWidth="1"/>
    <col min="511" max="511" width="1.85546875" customWidth="1"/>
    <col min="512" max="513" width="13.140625" customWidth="1"/>
    <col min="514" max="514" width="13.28515625" customWidth="1"/>
    <col min="515" max="515" width="12.7109375" customWidth="1"/>
    <col min="756" max="756" width="1.42578125" customWidth="1"/>
    <col min="757" max="757" width="4.5703125" customWidth="1"/>
    <col min="758" max="758" width="5.140625" customWidth="1"/>
    <col min="759" max="759" width="4" customWidth="1"/>
    <col min="760" max="760" width="6.85546875" customWidth="1"/>
    <col min="761" max="761" width="9.7109375" customWidth="1"/>
    <col min="762" max="762" width="45.7109375" customWidth="1"/>
    <col min="763" max="763" width="13" customWidth="1"/>
    <col min="764" max="764" width="11.5703125" customWidth="1"/>
    <col min="765" max="765" width="12.85546875" customWidth="1"/>
    <col min="766" max="766" width="0.42578125" customWidth="1"/>
    <col min="767" max="767" width="1.85546875" customWidth="1"/>
    <col min="768" max="769" width="13.140625" customWidth="1"/>
    <col min="770" max="770" width="13.28515625" customWidth="1"/>
    <col min="771" max="771" width="12.7109375" customWidth="1"/>
    <col min="1012" max="1012" width="1.42578125" customWidth="1"/>
    <col min="1013" max="1013" width="4.5703125" customWidth="1"/>
    <col min="1014" max="1014" width="5.140625" customWidth="1"/>
    <col min="1015" max="1015" width="4" customWidth="1"/>
    <col min="1016" max="1016" width="6.85546875" customWidth="1"/>
    <col min="1017" max="1017" width="9.7109375" customWidth="1"/>
    <col min="1018" max="1018" width="45.7109375" customWidth="1"/>
    <col min="1019" max="1019" width="13" customWidth="1"/>
    <col min="1020" max="1020" width="11.5703125" customWidth="1"/>
    <col min="1021" max="1021" width="12.85546875" customWidth="1"/>
    <col min="1022" max="1022" width="0.42578125" customWidth="1"/>
    <col min="1023" max="1023" width="1.85546875" customWidth="1"/>
    <col min="1024" max="1025" width="13.140625" customWidth="1"/>
    <col min="1026" max="1026" width="13.28515625" customWidth="1"/>
    <col min="1027" max="1027" width="12.7109375" customWidth="1"/>
    <col min="1268" max="1268" width="1.42578125" customWidth="1"/>
    <col min="1269" max="1269" width="4.5703125" customWidth="1"/>
    <col min="1270" max="1270" width="5.140625" customWidth="1"/>
    <col min="1271" max="1271" width="4" customWidth="1"/>
    <col min="1272" max="1272" width="6.85546875" customWidth="1"/>
    <col min="1273" max="1273" width="9.7109375" customWidth="1"/>
    <col min="1274" max="1274" width="45.7109375" customWidth="1"/>
    <col min="1275" max="1275" width="13" customWidth="1"/>
    <col min="1276" max="1276" width="11.5703125" customWidth="1"/>
    <col min="1277" max="1277" width="12.85546875" customWidth="1"/>
    <col min="1278" max="1278" width="0.42578125" customWidth="1"/>
    <col min="1279" max="1279" width="1.85546875" customWidth="1"/>
    <col min="1280" max="1281" width="13.140625" customWidth="1"/>
    <col min="1282" max="1282" width="13.28515625" customWidth="1"/>
    <col min="1283" max="1283" width="12.7109375" customWidth="1"/>
    <col min="1524" max="1524" width="1.42578125" customWidth="1"/>
    <col min="1525" max="1525" width="4.5703125" customWidth="1"/>
    <col min="1526" max="1526" width="5.140625" customWidth="1"/>
    <col min="1527" max="1527" width="4" customWidth="1"/>
    <col min="1528" max="1528" width="6.85546875" customWidth="1"/>
    <col min="1529" max="1529" width="9.7109375" customWidth="1"/>
    <col min="1530" max="1530" width="45.7109375" customWidth="1"/>
    <col min="1531" max="1531" width="13" customWidth="1"/>
    <col min="1532" max="1532" width="11.5703125" customWidth="1"/>
    <col min="1533" max="1533" width="12.85546875" customWidth="1"/>
    <col min="1534" max="1534" width="0.42578125" customWidth="1"/>
    <col min="1535" max="1535" width="1.85546875" customWidth="1"/>
    <col min="1536" max="1537" width="13.140625" customWidth="1"/>
    <col min="1538" max="1538" width="13.28515625" customWidth="1"/>
    <col min="1539" max="1539" width="12.7109375" customWidth="1"/>
    <col min="1780" max="1780" width="1.42578125" customWidth="1"/>
    <col min="1781" max="1781" width="4.5703125" customWidth="1"/>
    <col min="1782" max="1782" width="5.140625" customWidth="1"/>
    <col min="1783" max="1783" width="4" customWidth="1"/>
    <col min="1784" max="1784" width="6.85546875" customWidth="1"/>
    <col min="1785" max="1785" width="9.7109375" customWidth="1"/>
    <col min="1786" max="1786" width="45.7109375" customWidth="1"/>
    <col min="1787" max="1787" width="13" customWidth="1"/>
    <col min="1788" max="1788" width="11.5703125" customWidth="1"/>
    <col min="1789" max="1789" width="12.85546875" customWidth="1"/>
    <col min="1790" max="1790" width="0.42578125" customWidth="1"/>
    <col min="1791" max="1791" width="1.85546875" customWidth="1"/>
    <col min="1792" max="1793" width="13.140625" customWidth="1"/>
    <col min="1794" max="1794" width="13.28515625" customWidth="1"/>
    <col min="1795" max="1795" width="12.7109375" customWidth="1"/>
    <col min="2036" max="2036" width="1.42578125" customWidth="1"/>
    <col min="2037" max="2037" width="4.5703125" customWidth="1"/>
    <col min="2038" max="2038" width="5.140625" customWidth="1"/>
    <col min="2039" max="2039" width="4" customWidth="1"/>
    <col min="2040" max="2040" width="6.85546875" customWidth="1"/>
    <col min="2041" max="2041" width="9.7109375" customWidth="1"/>
    <col min="2042" max="2042" width="45.7109375" customWidth="1"/>
    <col min="2043" max="2043" width="13" customWidth="1"/>
    <col min="2044" max="2044" width="11.5703125" customWidth="1"/>
    <col min="2045" max="2045" width="12.85546875" customWidth="1"/>
    <col min="2046" max="2046" width="0.42578125" customWidth="1"/>
    <col min="2047" max="2047" width="1.85546875" customWidth="1"/>
    <col min="2048" max="2049" width="13.140625" customWidth="1"/>
    <col min="2050" max="2050" width="13.28515625" customWidth="1"/>
    <col min="2051" max="2051" width="12.7109375" customWidth="1"/>
    <col min="2292" max="2292" width="1.42578125" customWidth="1"/>
    <col min="2293" max="2293" width="4.5703125" customWidth="1"/>
    <col min="2294" max="2294" width="5.140625" customWidth="1"/>
    <col min="2295" max="2295" width="4" customWidth="1"/>
    <col min="2296" max="2296" width="6.85546875" customWidth="1"/>
    <col min="2297" max="2297" width="9.7109375" customWidth="1"/>
    <col min="2298" max="2298" width="45.7109375" customWidth="1"/>
    <col min="2299" max="2299" width="13" customWidth="1"/>
    <col min="2300" max="2300" width="11.5703125" customWidth="1"/>
    <col min="2301" max="2301" width="12.85546875" customWidth="1"/>
    <col min="2302" max="2302" width="0.42578125" customWidth="1"/>
    <col min="2303" max="2303" width="1.85546875" customWidth="1"/>
    <col min="2304" max="2305" width="13.140625" customWidth="1"/>
    <col min="2306" max="2306" width="13.28515625" customWidth="1"/>
    <col min="2307" max="2307" width="12.7109375" customWidth="1"/>
    <col min="2548" max="2548" width="1.42578125" customWidth="1"/>
    <col min="2549" max="2549" width="4.5703125" customWidth="1"/>
    <col min="2550" max="2550" width="5.140625" customWidth="1"/>
    <col min="2551" max="2551" width="4" customWidth="1"/>
    <col min="2552" max="2552" width="6.85546875" customWidth="1"/>
    <col min="2553" max="2553" width="9.7109375" customWidth="1"/>
    <col min="2554" max="2554" width="45.7109375" customWidth="1"/>
    <col min="2555" max="2555" width="13" customWidth="1"/>
    <col min="2556" max="2556" width="11.5703125" customWidth="1"/>
    <col min="2557" max="2557" width="12.85546875" customWidth="1"/>
    <col min="2558" max="2558" width="0.42578125" customWidth="1"/>
    <col min="2559" max="2559" width="1.85546875" customWidth="1"/>
    <col min="2560" max="2561" width="13.140625" customWidth="1"/>
    <col min="2562" max="2562" width="13.28515625" customWidth="1"/>
    <col min="2563" max="2563" width="12.7109375" customWidth="1"/>
    <col min="2804" max="2804" width="1.42578125" customWidth="1"/>
    <col min="2805" max="2805" width="4.5703125" customWidth="1"/>
    <col min="2806" max="2806" width="5.140625" customWidth="1"/>
    <col min="2807" max="2807" width="4" customWidth="1"/>
    <col min="2808" max="2808" width="6.85546875" customWidth="1"/>
    <col min="2809" max="2809" width="9.7109375" customWidth="1"/>
    <col min="2810" max="2810" width="45.7109375" customWidth="1"/>
    <col min="2811" max="2811" width="13" customWidth="1"/>
    <col min="2812" max="2812" width="11.5703125" customWidth="1"/>
    <col min="2813" max="2813" width="12.85546875" customWidth="1"/>
    <col min="2814" max="2814" width="0.42578125" customWidth="1"/>
    <col min="2815" max="2815" width="1.85546875" customWidth="1"/>
    <col min="2816" max="2817" width="13.140625" customWidth="1"/>
    <col min="2818" max="2818" width="13.28515625" customWidth="1"/>
    <col min="2819" max="2819" width="12.7109375" customWidth="1"/>
    <col min="3060" max="3060" width="1.42578125" customWidth="1"/>
    <col min="3061" max="3061" width="4.5703125" customWidth="1"/>
    <col min="3062" max="3062" width="5.140625" customWidth="1"/>
    <col min="3063" max="3063" width="4" customWidth="1"/>
    <col min="3064" max="3064" width="6.85546875" customWidth="1"/>
    <col min="3065" max="3065" width="9.7109375" customWidth="1"/>
    <col min="3066" max="3066" width="45.7109375" customWidth="1"/>
    <col min="3067" max="3067" width="13" customWidth="1"/>
    <col min="3068" max="3068" width="11.5703125" customWidth="1"/>
    <col min="3069" max="3069" width="12.85546875" customWidth="1"/>
    <col min="3070" max="3070" width="0.42578125" customWidth="1"/>
    <col min="3071" max="3071" width="1.85546875" customWidth="1"/>
    <col min="3072" max="3073" width="13.140625" customWidth="1"/>
    <col min="3074" max="3074" width="13.28515625" customWidth="1"/>
    <col min="3075" max="3075" width="12.7109375" customWidth="1"/>
    <col min="3316" max="3316" width="1.42578125" customWidth="1"/>
    <col min="3317" max="3317" width="4.5703125" customWidth="1"/>
    <col min="3318" max="3318" width="5.140625" customWidth="1"/>
    <col min="3319" max="3319" width="4" customWidth="1"/>
    <col min="3320" max="3320" width="6.85546875" customWidth="1"/>
    <col min="3321" max="3321" width="9.7109375" customWidth="1"/>
    <col min="3322" max="3322" width="45.7109375" customWidth="1"/>
    <col min="3323" max="3323" width="13" customWidth="1"/>
    <col min="3324" max="3324" width="11.5703125" customWidth="1"/>
    <col min="3325" max="3325" width="12.85546875" customWidth="1"/>
    <col min="3326" max="3326" width="0.42578125" customWidth="1"/>
    <col min="3327" max="3327" width="1.85546875" customWidth="1"/>
    <col min="3328" max="3329" width="13.140625" customWidth="1"/>
    <col min="3330" max="3330" width="13.28515625" customWidth="1"/>
    <col min="3331" max="3331" width="12.7109375" customWidth="1"/>
    <col min="3572" max="3572" width="1.42578125" customWidth="1"/>
    <col min="3573" max="3573" width="4.5703125" customWidth="1"/>
    <col min="3574" max="3574" width="5.140625" customWidth="1"/>
    <col min="3575" max="3575" width="4" customWidth="1"/>
    <col min="3576" max="3576" width="6.85546875" customWidth="1"/>
    <col min="3577" max="3577" width="9.7109375" customWidth="1"/>
    <col min="3578" max="3578" width="45.7109375" customWidth="1"/>
    <col min="3579" max="3579" width="13" customWidth="1"/>
    <col min="3580" max="3580" width="11.5703125" customWidth="1"/>
    <col min="3581" max="3581" width="12.85546875" customWidth="1"/>
    <col min="3582" max="3582" width="0.42578125" customWidth="1"/>
    <col min="3583" max="3583" width="1.85546875" customWidth="1"/>
    <col min="3584" max="3585" width="13.140625" customWidth="1"/>
    <col min="3586" max="3586" width="13.28515625" customWidth="1"/>
    <col min="3587" max="3587" width="12.7109375" customWidth="1"/>
    <col min="3828" max="3828" width="1.42578125" customWidth="1"/>
    <col min="3829" max="3829" width="4.5703125" customWidth="1"/>
    <col min="3830" max="3830" width="5.140625" customWidth="1"/>
    <col min="3831" max="3831" width="4" customWidth="1"/>
    <col min="3832" max="3832" width="6.85546875" customWidth="1"/>
    <col min="3833" max="3833" width="9.7109375" customWidth="1"/>
    <col min="3834" max="3834" width="45.7109375" customWidth="1"/>
    <col min="3835" max="3835" width="13" customWidth="1"/>
    <col min="3836" max="3836" width="11.5703125" customWidth="1"/>
    <col min="3837" max="3837" width="12.85546875" customWidth="1"/>
    <col min="3838" max="3838" width="0.42578125" customWidth="1"/>
    <col min="3839" max="3839" width="1.85546875" customWidth="1"/>
    <col min="3840" max="3841" width="13.140625" customWidth="1"/>
    <col min="3842" max="3842" width="13.28515625" customWidth="1"/>
    <col min="3843" max="3843" width="12.7109375" customWidth="1"/>
    <col min="4084" max="4084" width="1.42578125" customWidth="1"/>
    <col min="4085" max="4085" width="4.5703125" customWidth="1"/>
    <col min="4086" max="4086" width="5.140625" customWidth="1"/>
    <col min="4087" max="4087" width="4" customWidth="1"/>
    <col min="4088" max="4088" width="6.85546875" customWidth="1"/>
    <col min="4089" max="4089" width="9.7109375" customWidth="1"/>
    <col min="4090" max="4090" width="45.7109375" customWidth="1"/>
    <col min="4091" max="4091" width="13" customWidth="1"/>
    <col min="4092" max="4092" width="11.5703125" customWidth="1"/>
    <col min="4093" max="4093" width="12.85546875" customWidth="1"/>
    <col min="4094" max="4094" width="0.42578125" customWidth="1"/>
    <col min="4095" max="4095" width="1.85546875" customWidth="1"/>
    <col min="4096" max="4097" width="13.140625" customWidth="1"/>
    <col min="4098" max="4098" width="13.28515625" customWidth="1"/>
    <col min="4099" max="4099" width="12.7109375" customWidth="1"/>
    <col min="4340" max="4340" width="1.42578125" customWidth="1"/>
    <col min="4341" max="4341" width="4.5703125" customWidth="1"/>
    <col min="4342" max="4342" width="5.140625" customWidth="1"/>
    <col min="4343" max="4343" width="4" customWidth="1"/>
    <col min="4344" max="4344" width="6.85546875" customWidth="1"/>
    <col min="4345" max="4345" width="9.7109375" customWidth="1"/>
    <col min="4346" max="4346" width="45.7109375" customWidth="1"/>
    <col min="4347" max="4347" width="13" customWidth="1"/>
    <col min="4348" max="4348" width="11.5703125" customWidth="1"/>
    <col min="4349" max="4349" width="12.85546875" customWidth="1"/>
    <col min="4350" max="4350" width="0.42578125" customWidth="1"/>
    <col min="4351" max="4351" width="1.85546875" customWidth="1"/>
    <col min="4352" max="4353" width="13.140625" customWidth="1"/>
    <col min="4354" max="4354" width="13.28515625" customWidth="1"/>
    <col min="4355" max="4355" width="12.7109375" customWidth="1"/>
    <col min="4596" max="4596" width="1.42578125" customWidth="1"/>
    <col min="4597" max="4597" width="4.5703125" customWidth="1"/>
    <col min="4598" max="4598" width="5.140625" customWidth="1"/>
    <col min="4599" max="4599" width="4" customWidth="1"/>
    <col min="4600" max="4600" width="6.85546875" customWidth="1"/>
    <col min="4601" max="4601" width="9.7109375" customWidth="1"/>
    <col min="4602" max="4602" width="45.7109375" customWidth="1"/>
    <col min="4603" max="4603" width="13" customWidth="1"/>
    <col min="4604" max="4604" width="11.5703125" customWidth="1"/>
    <col min="4605" max="4605" width="12.85546875" customWidth="1"/>
    <col min="4606" max="4606" width="0.42578125" customWidth="1"/>
    <col min="4607" max="4607" width="1.85546875" customWidth="1"/>
    <col min="4608" max="4609" width="13.140625" customWidth="1"/>
    <col min="4610" max="4610" width="13.28515625" customWidth="1"/>
    <col min="4611" max="4611" width="12.7109375" customWidth="1"/>
    <col min="4852" max="4852" width="1.42578125" customWidth="1"/>
    <col min="4853" max="4853" width="4.5703125" customWidth="1"/>
    <col min="4854" max="4854" width="5.140625" customWidth="1"/>
    <col min="4855" max="4855" width="4" customWidth="1"/>
    <col min="4856" max="4856" width="6.85546875" customWidth="1"/>
    <col min="4857" max="4857" width="9.7109375" customWidth="1"/>
    <col min="4858" max="4858" width="45.7109375" customWidth="1"/>
    <col min="4859" max="4859" width="13" customWidth="1"/>
    <col min="4860" max="4860" width="11.5703125" customWidth="1"/>
    <col min="4861" max="4861" width="12.85546875" customWidth="1"/>
    <col min="4862" max="4862" width="0.42578125" customWidth="1"/>
    <col min="4863" max="4863" width="1.85546875" customWidth="1"/>
    <col min="4864" max="4865" width="13.140625" customWidth="1"/>
    <col min="4866" max="4866" width="13.28515625" customWidth="1"/>
    <col min="4867" max="4867" width="12.7109375" customWidth="1"/>
    <col min="5108" max="5108" width="1.42578125" customWidth="1"/>
    <col min="5109" max="5109" width="4.5703125" customWidth="1"/>
    <col min="5110" max="5110" width="5.140625" customWidth="1"/>
    <col min="5111" max="5111" width="4" customWidth="1"/>
    <col min="5112" max="5112" width="6.85546875" customWidth="1"/>
    <col min="5113" max="5113" width="9.7109375" customWidth="1"/>
    <col min="5114" max="5114" width="45.7109375" customWidth="1"/>
    <col min="5115" max="5115" width="13" customWidth="1"/>
    <col min="5116" max="5116" width="11.5703125" customWidth="1"/>
    <col min="5117" max="5117" width="12.85546875" customWidth="1"/>
    <col min="5118" max="5118" width="0.42578125" customWidth="1"/>
    <col min="5119" max="5119" width="1.85546875" customWidth="1"/>
    <col min="5120" max="5121" width="13.140625" customWidth="1"/>
    <col min="5122" max="5122" width="13.28515625" customWidth="1"/>
    <col min="5123" max="5123" width="12.7109375" customWidth="1"/>
    <col min="5364" max="5364" width="1.42578125" customWidth="1"/>
    <col min="5365" max="5365" width="4.5703125" customWidth="1"/>
    <col min="5366" max="5366" width="5.140625" customWidth="1"/>
    <col min="5367" max="5367" width="4" customWidth="1"/>
    <col min="5368" max="5368" width="6.85546875" customWidth="1"/>
    <col min="5369" max="5369" width="9.7109375" customWidth="1"/>
    <col min="5370" max="5370" width="45.7109375" customWidth="1"/>
    <col min="5371" max="5371" width="13" customWidth="1"/>
    <col min="5372" max="5372" width="11.5703125" customWidth="1"/>
    <col min="5373" max="5373" width="12.85546875" customWidth="1"/>
    <col min="5374" max="5374" width="0.42578125" customWidth="1"/>
    <col min="5375" max="5375" width="1.85546875" customWidth="1"/>
    <col min="5376" max="5377" width="13.140625" customWidth="1"/>
    <col min="5378" max="5378" width="13.28515625" customWidth="1"/>
    <col min="5379" max="5379" width="12.7109375" customWidth="1"/>
    <col min="5620" max="5620" width="1.42578125" customWidth="1"/>
    <col min="5621" max="5621" width="4.5703125" customWidth="1"/>
    <col min="5622" max="5622" width="5.140625" customWidth="1"/>
    <col min="5623" max="5623" width="4" customWidth="1"/>
    <col min="5624" max="5624" width="6.85546875" customWidth="1"/>
    <col min="5625" max="5625" width="9.7109375" customWidth="1"/>
    <col min="5626" max="5626" width="45.7109375" customWidth="1"/>
    <col min="5627" max="5627" width="13" customWidth="1"/>
    <col min="5628" max="5628" width="11.5703125" customWidth="1"/>
    <col min="5629" max="5629" width="12.85546875" customWidth="1"/>
    <col min="5630" max="5630" width="0.42578125" customWidth="1"/>
    <col min="5631" max="5631" width="1.85546875" customWidth="1"/>
    <col min="5632" max="5633" width="13.140625" customWidth="1"/>
    <col min="5634" max="5634" width="13.28515625" customWidth="1"/>
    <col min="5635" max="5635" width="12.7109375" customWidth="1"/>
    <col min="5876" max="5876" width="1.42578125" customWidth="1"/>
    <col min="5877" max="5877" width="4.5703125" customWidth="1"/>
    <col min="5878" max="5878" width="5.140625" customWidth="1"/>
    <col min="5879" max="5879" width="4" customWidth="1"/>
    <col min="5880" max="5880" width="6.85546875" customWidth="1"/>
    <col min="5881" max="5881" width="9.7109375" customWidth="1"/>
    <col min="5882" max="5882" width="45.7109375" customWidth="1"/>
    <col min="5883" max="5883" width="13" customWidth="1"/>
    <col min="5884" max="5884" width="11.5703125" customWidth="1"/>
    <col min="5885" max="5885" width="12.85546875" customWidth="1"/>
    <col min="5886" max="5886" width="0.42578125" customWidth="1"/>
    <col min="5887" max="5887" width="1.85546875" customWidth="1"/>
    <col min="5888" max="5889" width="13.140625" customWidth="1"/>
    <col min="5890" max="5890" width="13.28515625" customWidth="1"/>
    <col min="5891" max="5891" width="12.7109375" customWidth="1"/>
    <col min="6132" max="6132" width="1.42578125" customWidth="1"/>
    <col min="6133" max="6133" width="4.5703125" customWidth="1"/>
    <col min="6134" max="6134" width="5.140625" customWidth="1"/>
    <col min="6135" max="6135" width="4" customWidth="1"/>
    <col min="6136" max="6136" width="6.85546875" customWidth="1"/>
    <col min="6137" max="6137" width="9.7109375" customWidth="1"/>
    <col min="6138" max="6138" width="45.7109375" customWidth="1"/>
    <col min="6139" max="6139" width="13" customWidth="1"/>
    <col min="6140" max="6140" width="11.5703125" customWidth="1"/>
    <col min="6141" max="6141" width="12.85546875" customWidth="1"/>
    <col min="6142" max="6142" width="0.42578125" customWidth="1"/>
    <col min="6143" max="6143" width="1.85546875" customWidth="1"/>
    <col min="6144" max="6145" width="13.140625" customWidth="1"/>
    <col min="6146" max="6146" width="13.28515625" customWidth="1"/>
    <col min="6147" max="6147" width="12.7109375" customWidth="1"/>
    <col min="6388" max="6388" width="1.42578125" customWidth="1"/>
    <col min="6389" max="6389" width="4.5703125" customWidth="1"/>
    <col min="6390" max="6390" width="5.140625" customWidth="1"/>
    <col min="6391" max="6391" width="4" customWidth="1"/>
    <col min="6392" max="6392" width="6.85546875" customWidth="1"/>
    <col min="6393" max="6393" width="9.7109375" customWidth="1"/>
    <col min="6394" max="6394" width="45.7109375" customWidth="1"/>
    <col min="6395" max="6395" width="13" customWidth="1"/>
    <col min="6396" max="6396" width="11.5703125" customWidth="1"/>
    <col min="6397" max="6397" width="12.85546875" customWidth="1"/>
    <col min="6398" max="6398" width="0.42578125" customWidth="1"/>
    <col min="6399" max="6399" width="1.85546875" customWidth="1"/>
    <col min="6400" max="6401" width="13.140625" customWidth="1"/>
    <col min="6402" max="6402" width="13.28515625" customWidth="1"/>
    <col min="6403" max="6403" width="12.7109375" customWidth="1"/>
    <col min="6644" max="6644" width="1.42578125" customWidth="1"/>
    <col min="6645" max="6645" width="4.5703125" customWidth="1"/>
    <col min="6646" max="6646" width="5.140625" customWidth="1"/>
    <col min="6647" max="6647" width="4" customWidth="1"/>
    <col min="6648" max="6648" width="6.85546875" customWidth="1"/>
    <col min="6649" max="6649" width="9.7109375" customWidth="1"/>
    <col min="6650" max="6650" width="45.7109375" customWidth="1"/>
    <col min="6651" max="6651" width="13" customWidth="1"/>
    <col min="6652" max="6652" width="11.5703125" customWidth="1"/>
    <col min="6653" max="6653" width="12.85546875" customWidth="1"/>
    <col min="6654" max="6654" width="0.42578125" customWidth="1"/>
    <col min="6655" max="6655" width="1.85546875" customWidth="1"/>
    <col min="6656" max="6657" width="13.140625" customWidth="1"/>
    <col min="6658" max="6658" width="13.28515625" customWidth="1"/>
    <col min="6659" max="6659" width="12.7109375" customWidth="1"/>
    <col min="6900" max="6900" width="1.42578125" customWidth="1"/>
    <col min="6901" max="6901" width="4.5703125" customWidth="1"/>
    <col min="6902" max="6902" width="5.140625" customWidth="1"/>
    <col min="6903" max="6903" width="4" customWidth="1"/>
    <col min="6904" max="6904" width="6.85546875" customWidth="1"/>
    <col min="6905" max="6905" width="9.7109375" customWidth="1"/>
    <col min="6906" max="6906" width="45.7109375" customWidth="1"/>
    <col min="6907" max="6907" width="13" customWidth="1"/>
    <col min="6908" max="6908" width="11.5703125" customWidth="1"/>
    <col min="6909" max="6909" width="12.85546875" customWidth="1"/>
    <col min="6910" max="6910" width="0.42578125" customWidth="1"/>
    <col min="6911" max="6911" width="1.85546875" customWidth="1"/>
    <col min="6912" max="6913" width="13.140625" customWidth="1"/>
    <col min="6914" max="6914" width="13.28515625" customWidth="1"/>
    <col min="6915" max="6915" width="12.7109375" customWidth="1"/>
    <col min="7156" max="7156" width="1.42578125" customWidth="1"/>
    <col min="7157" max="7157" width="4.5703125" customWidth="1"/>
    <col min="7158" max="7158" width="5.140625" customWidth="1"/>
    <col min="7159" max="7159" width="4" customWidth="1"/>
    <col min="7160" max="7160" width="6.85546875" customWidth="1"/>
    <col min="7161" max="7161" width="9.7109375" customWidth="1"/>
    <col min="7162" max="7162" width="45.7109375" customWidth="1"/>
    <col min="7163" max="7163" width="13" customWidth="1"/>
    <col min="7164" max="7164" width="11.5703125" customWidth="1"/>
    <col min="7165" max="7165" width="12.85546875" customWidth="1"/>
    <col min="7166" max="7166" width="0.42578125" customWidth="1"/>
    <col min="7167" max="7167" width="1.85546875" customWidth="1"/>
    <col min="7168" max="7169" width="13.140625" customWidth="1"/>
    <col min="7170" max="7170" width="13.28515625" customWidth="1"/>
    <col min="7171" max="7171" width="12.7109375" customWidth="1"/>
    <col min="7412" max="7412" width="1.42578125" customWidth="1"/>
    <col min="7413" max="7413" width="4.5703125" customWidth="1"/>
    <col min="7414" max="7414" width="5.140625" customWidth="1"/>
    <col min="7415" max="7415" width="4" customWidth="1"/>
    <col min="7416" max="7416" width="6.85546875" customWidth="1"/>
    <col min="7417" max="7417" width="9.7109375" customWidth="1"/>
    <col min="7418" max="7418" width="45.7109375" customWidth="1"/>
    <col min="7419" max="7419" width="13" customWidth="1"/>
    <col min="7420" max="7420" width="11.5703125" customWidth="1"/>
    <col min="7421" max="7421" width="12.85546875" customWidth="1"/>
    <col min="7422" max="7422" width="0.42578125" customWidth="1"/>
    <col min="7423" max="7423" width="1.85546875" customWidth="1"/>
    <col min="7424" max="7425" width="13.140625" customWidth="1"/>
    <col min="7426" max="7426" width="13.28515625" customWidth="1"/>
    <col min="7427" max="7427" width="12.7109375" customWidth="1"/>
    <col min="7668" max="7668" width="1.42578125" customWidth="1"/>
    <col min="7669" max="7669" width="4.5703125" customWidth="1"/>
    <col min="7670" max="7670" width="5.140625" customWidth="1"/>
    <col min="7671" max="7671" width="4" customWidth="1"/>
    <col min="7672" max="7672" width="6.85546875" customWidth="1"/>
    <col min="7673" max="7673" width="9.7109375" customWidth="1"/>
    <col min="7674" max="7674" width="45.7109375" customWidth="1"/>
    <col min="7675" max="7675" width="13" customWidth="1"/>
    <col min="7676" max="7676" width="11.5703125" customWidth="1"/>
    <col min="7677" max="7677" width="12.85546875" customWidth="1"/>
    <col min="7678" max="7678" width="0.42578125" customWidth="1"/>
    <col min="7679" max="7679" width="1.85546875" customWidth="1"/>
    <col min="7680" max="7681" width="13.140625" customWidth="1"/>
    <col min="7682" max="7682" width="13.28515625" customWidth="1"/>
    <col min="7683" max="7683" width="12.7109375" customWidth="1"/>
    <col min="7924" max="7924" width="1.42578125" customWidth="1"/>
    <col min="7925" max="7925" width="4.5703125" customWidth="1"/>
    <col min="7926" max="7926" width="5.140625" customWidth="1"/>
    <col min="7927" max="7927" width="4" customWidth="1"/>
    <col min="7928" max="7928" width="6.85546875" customWidth="1"/>
    <col min="7929" max="7929" width="9.7109375" customWidth="1"/>
    <col min="7930" max="7930" width="45.7109375" customWidth="1"/>
    <col min="7931" max="7931" width="13" customWidth="1"/>
    <col min="7932" max="7932" width="11.5703125" customWidth="1"/>
    <col min="7933" max="7933" width="12.85546875" customWidth="1"/>
    <col min="7934" max="7934" width="0.42578125" customWidth="1"/>
    <col min="7935" max="7935" width="1.85546875" customWidth="1"/>
    <col min="7936" max="7937" width="13.140625" customWidth="1"/>
    <col min="7938" max="7938" width="13.28515625" customWidth="1"/>
    <col min="7939" max="7939" width="12.7109375" customWidth="1"/>
    <col min="8180" max="8180" width="1.42578125" customWidth="1"/>
    <col min="8181" max="8181" width="4.5703125" customWidth="1"/>
    <col min="8182" max="8182" width="5.140625" customWidth="1"/>
    <col min="8183" max="8183" width="4" customWidth="1"/>
    <col min="8184" max="8184" width="6.85546875" customWidth="1"/>
    <col min="8185" max="8185" width="9.7109375" customWidth="1"/>
    <col min="8186" max="8186" width="45.7109375" customWidth="1"/>
    <col min="8187" max="8187" width="13" customWidth="1"/>
    <col min="8188" max="8188" width="11.5703125" customWidth="1"/>
    <col min="8189" max="8189" width="12.85546875" customWidth="1"/>
    <col min="8190" max="8190" width="0.42578125" customWidth="1"/>
    <col min="8191" max="8191" width="1.85546875" customWidth="1"/>
    <col min="8192" max="8193" width="13.140625" customWidth="1"/>
    <col min="8194" max="8194" width="13.28515625" customWidth="1"/>
    <col min="8195" max="8195" width="12.7109375" customWidth="1"/>
    <col min="8436" max="8436" width="1.42578125" customWidth="1"/>
    <col min="8437" max="8437" width="4.5703125" customWidth="1"/>
    <col min="8438" max="8438" width="5.140625" customWidth="1"/>
    <col min="8439" max="8439" width="4" customWidth="1"/>
    <col min="8440" max="8440" width="6.85546875" customWidth="1"/>
    <col min="8441" max="8441" width="9.7109375" customWidth="1"/>
    <col min="8442" max="8442" width="45.7109375" customWidth="1"/>
    <col min="8443" max="8443" width="13" customWidth="1"/>
    <col min="8444" max="8444" width="11.5703125" customWidth="1"/>
    <col min="8445" max="8445" width="12.85546875" customWidth="1"/>
    <col min="8446" max="8446" width="0.42578125" customWidth="1"/>
    <col min="8447" max="8447" width="1.85546875" customWidth="1"/>
    <col min="8448" max="8449" width="13.140625" customWidth="1"/>
    <col min="8450" max="8450" width="13.28515625" customWidth="1"/>
    <col min="8451" max="8451" width="12.7109375" customWidth="1"/>
    <col min="8692" max="8692" width="1.42578125" customWidth="1"/>
    <col min="8693" max="8693" width="4.5703125" customWidth="1"/>
    <col min="8694" max="8694" width="5.140625" customWidth="1"/>
    <col min="8695" max="8695" width="4" customWidth="1"/>
    <col min="8696" max="8696" width="6.85546875" customWidth="1"/>
    <col min="8697" max="8697" width="9.7109375" customWidth="1"/>
    <col min="8698" max="8698" width="45.7109375" customWidth="1"/>
    <col min="8699" max="8699" width="13" customWidth="1"/>
    <col min="8700" max="8700" width="11.5703125" customWidth="1"/>
    <col min="8701" max="8701" width="12.85546875" customWidth="1"/>
    <col min="8702" max="8702" width="0.42578125" customWidth="1"/>
    <col min="8703" max="8703" width="1.85546875" customWidth="1"/>
    <col min="8704" max="8705" width="13.140625" customWidth="1"/>
    <col min="8706" max="8706" width="13.28515625" customWidth="1"/>
    <col min="8707" max="8707" width="12.7109375" customWidth="1"/>
    <col min="8948" max="8948" width="1.42578125" customWidth="1"/>
    <col min="8949" max="8949" width="4.5703125" customWidth="1"/>
    <col min="8950" max="8950" width="5.140625" customWidth="1"/>
    <col min="8951" max="8951" width="4" customWidth="1"/>
    <col min="8952" max="8952" width="6.85546875" customWidth="1"/>
    <col min="8953" max="8953" width="9.7109375" customWidth="1"/>
    <col min="8954" max="8954" width="45.7109375" customWidth="1"/>
    <col min="8955" max="8955" width="13" customWidth="1"/>
    <col min="8956" max="8956" width="11.5703125" customWidth="1"/>
    <col min="8957" max="8957" width="12.85546875" customWidth="1"/>
    <col min="8958" max="8958" width="0.42578125" customWidth="1"/>
    <col min="8959" max="8959" width="1.85546875" customWidth="1"/>
    <col min="8960" max="8961" width="13.140625" customWidth="1"/>
    <col min="8962" max="8962" width="13.28515625" customWidth="1"/>
    <col min="8963" max="8963" width="12.7109375" customWidth="1"/>
    <col min="9204" max="9204" width="1.42578125" customWidth="1"/>
    <col min="9205" max="9205" width="4.5703125" customWidth="1"/>
    <col min="9206" max="9206" width="5.140625" customWidth="1"/>
    <col min="9207" max="9207" width="4" customWidth="1"/>
    <col min="9208" max="9208" width="6.85546875" customWidth="1"/>
    <col min="9209" max="9209" width="9.7109375" customWidth="1"/>
    <col min="9210" max="9210" width="45.7109375" customWidth="1"/>
    <col min="9211" max="9211" width="13" customWidth="1"/>
    <col min="9212" max="9212" width="11.5703125" customWidth="1"/>
    <col min="9213" max="9213" width="12.85546875" customWidth="1"/>
    <col min="9214" max="9214" width="0.42578125" customWidth="1"/>
    <col min="9215" max="9215" width="1.85546875" customWidth="1"/>
    <col min="9216" max="9217" width="13.140625" customWidth="1"/>
    <col min="9218" max="9218" width="13.28515625" customWidth="1"/>
    <col min="9219" max="9219" width="12.7109375" customWidth="1"/>
    <col min="9460" max="9460" width="1.42578125" customWidth="1"/>
    <col min="9461" max="9461" width="4.5703125" customWidth="1"/>
    <col min="9462" max="9462" width="5.140625" customWidth="1"/>
    <col min="9463" max="9463" width="4" customWidth="1"/>
    <col min="9464" max="9464" width="6.85546875" customWidth="1"/>
    <col min="9465" max="9465" width="9.7109375" customWidth="1"/>
    <col min="9466" max="9466" width="45.7109375" customWidth="1"/>
    <col min="9467" max="9467" width="13" customWidth="1"/>
    <col min="9468" max="9468" width="11.5703125" customWidth="1"/>
    <col min="9469" max="9469" width="12.85546875" customWidth="1"/>
    <col min="9470" max="9470" width="0.42578125" customWidth="1"/>
    <col min="9471" max="9471" width="1.85546875" customWidth="1"/>
    <col min="9472" max="9473" width="13.140625" customWidth="1"/>
    <col min="9474" max="9474" width="13.28515625" customWidth="1"/>
    <col min="9475" max="9475" width="12.7109375" customWidth="1"/>
    <col min="9716" max="9716" width="1.42578125" customWidth="1"/>
    <col min="9717" max="9717" width="4.5703125" customWidth="1"/>
    <col min="9718" max="9718" width="5.140625" customWidth="1"/>
    <col min="9719" max="9719" width="4" customWidth="1"/>
    <col min="9720" max="9720" width="6.85546875" customWidth="1"/>
    <col min="9721" max="9721" width="9.7109375" customWidth="1"/>
    <col min="9722" max="9722" width="45.7109375" customWidth="1"/>
    <col min="9723" max="9723" width="13" customWidth="1"/>
    <col min="9724" max="9724" width="11.5703125" customWidth="1"/>
    <col min="9725" max="9725" width="12.85546875" customWidth="1"/>
    <col min="9726" max="9726" width="0.42578125" customWidth="1"/>
    <col min="9727" max="9727" width="1.85546875" customWidth="1"/>
    <col min="9728" max="9729" width="13.140625" customWidth="1"/>
    <col min="9730" max="9730" width="13.28515625" customWidth="1"/>
    <col min="9731" max="9731" width="12.7109375" customWidth="1"/>
    <col min="9972" max="9972" width="1.42578125" customWidth="1"/>
    <col min="9973" max="9973" width="4.5703125" customWidth="1"/>
    <col min="9974" max="9974" width="5.140625" customWidth="1"/>
    <col min="9975" max="9975" width="4" customWidth="1"/>
    <col min="9976" max="9976" width="6.85546875" customWidth="1"/>
    <col min="9977" max="9977" width="9.7109375" customWidth="1"/>
    <col min="9978" max="9978" width="45.7109375" customWidth="1"/>
    <col min="9979" max="9979" width="13" customWidth="1"/>
    <col min="9980" max="9980" width="11.5703125" customWidth="1"/>
    <col min="9981" max="9981" width="12.85546875" customWidth="1"/>
    <col min="9982" max="9982" width="0.42578125" customWidth="1"/>
    <col min="9983" max="9983" width="1.85546875" customWidth="1"/>
    <col min="9984" max="9985" width="13.140625" customWidth="1"/>
    <col min="9986" max="9986" width="13.28515625" customWidth="1"/>
    <col min="9987" max="9987" width="12.7109375" customWidth="1"/>
    <col min="10228" max="10228" width="1.42578125" customWidth="1"/>
    <col min="10229" max="10229" width="4.5703125" customWidth="1"/>
    <col min="10230" max="10230" width="5.140625" customWidth="1"/>
    <col min="10231" max="10231" width="4" customWidth="1"/>
    <col min="10232" max="10232" width="6.85546875" customWidth="1"/>
    <col min="10233" max="10233" width="9.7109375" customWidth="1"/>
    <col min="10234" max="10234" width="45.7109375" customWidth="1"/>
    <col min="10235" max="10235" width="13" customWidth="1"/>
    <col min="10236" max="10236" width="11.5703125" customWidth="1"/>
    <col min="10237" max="10237" width="12.85546875" customWidth="1"/>
    <col min="10238" max="10238" width="0.42578125" customWidth="1"/>
    <col min="10239" max="10239" width="1.85546875" customWidth="1"/>
    <col min="10240" max="10241" width="13.140625" customWidth="1"/>
    <col min="10242" max="10242" width="13.28515625" customWidth="1"/>
    <col min="10243" max="10243" width="12.7109375" customWidth="1"/>
    <col min="10484" max="10484" width="1.42578125" customWidth="1"/>
    <col min="10485" max="10485" width="4.5703125" customWidth="1"/>
    <col min="10486" max="10486" width="5.140625" customWidth="1"/>
    <col min="10487" max="10487" width="4" customWidth="1"/>
    <col min="10488" max="10488" width="6.85546875" customWidth="1"/>
    <col min="10489" max="10489" width="9.7109375" customWidth="1"/>
    <col min="10490" max="10490" width="45.7109375" customWidth="1"/>
    <col min="10491" max="10491" width="13" customWidth="1"/>
    <col min="10492" max="10492" width="11.5703125" customWidth="1"/>
    <col min="10493" max="10493" width="12.85546875" customWidth="1"/>
    <col min="10494" max="10494" width="0.42578125" customWidth="1"/>
    <col min="10495" max="10495" width="1.85546875" customWidth="1"/>
    <col min="10496" max="10497" width="13.140625" customWidth="1"/>
    <col min="10498" max="10498" width="13.28515625" customWidth="1"/>
    <col min="10499" max="10499" width="12.7109375" customWidth="1"/>
    <col min="10740" max="10740" width="1.42578125" customWidth="1"/>
    <col min="10741" max="10741" width="4.5703125" customWidth="1"/>
    <col min="10742" max="10742" width="5.140625" customWidth="1"/>
    <col min="10743" max="10743" width="4" customWidth="1"/>
    <col min="10744" max="10744" width="6.85546875" customWidth="1"/>
    <col min="10745" max="10745" width="9.7109375" customWidth="1"/>
    <col min="10746" max="10746" width="45.7109375" customWidth="1"/>
    <col min="10747" max="10747" width="13" customWidth="1"/>
    <col min="10748" max="10748" width="11.5703125" customWidth="1"/>
    <col min="10749" max="10749" width="12.85546875" customWidth="1"/>
    <col min="10750" max="10750" width="0.42578125" customWidth="1"/>
    <col min="10751" max="10751" width="1.85546875" customWidth="1"/>
    <col min="10752" max="10753" width="13.140625" customWidth="1"/>
    <col min="10754" max="10754" width="13.28515625" customWidth="1"/>
    <col min="10755" max="10755" width="12.7109375" customWidth="1"/>
    <col min="10996" max="10996" width="1.42578125" customWidth="1"/>
    <col min="10997" max="10997" width="4.5703125" customWidth="1"/>
    <col min="10998" max="10998" width="5.140625" customWidth="1"/>
    <col min="10999" max="10999" width="4" customWidth="1"/>
    <col min="11000" max="11000" width="6.85546875" customWidth="1"/>
    <col min="11001" max="11001" width="9.7109375" customWidth="1"/>
    <col min="11002" max="11002" width="45.7109375" customWidth="1"/>
    <col min="11003" max="11003" width="13" customWidth="1"/>
    <col min="11004" max="11004" width="11.5703125" customWidth="1"/>
    <col min="11005" max="11005" width="12.85546875" customWidth="1"/>
    <col min="11006" max="11006" width="0.42578125" customWidth="1"/>
    <col min="11007" max="11007" width="1.85546875" customWidth="1"/>
    <col min="11008" max="11009" width="13.140625" customWidth="1"/>
    <col min="11010" max="11010" width="13.28515625" customWidth="1"/>
    <col min="11011" max="11011" width="12.7109375" customWidth="1"/>
    <col min="11252" max="11252" width="1.42578125" customWidth="1"/>
    <col min="11253" max="11253" width="4.5703125" customWidth="1"/>
    <col min="11254" max="11254" width="5.140625" customWidth="1"/>
    <col min="11255" max="11255" width="4" customWidth="1"/>
    <col min="11256" max="11256" width="6.85546875" customWidth="1"/>
    <col min="11257" max="11257" width="9.7109375" customWidth="1"/>
    <col min="11258" max="11258" width="45.7109375" customWidth="1"/>
    <col min="11259" max="11259" width="13" customWidth="1"/>
    <col min="11260" max="11260" width="11.5703125" customWidth="1"/>
    <col min="11261" max="11261" width="12.85546875" customWidth="1"/>
    <col min="11262" max="11262" width="0.42578125" customWidth="1"/>
    <col min="11263" max="11263" width="1.85546875" customWidth="1"/>
    <col min="11264" max="11265" width="13.140625" customWidth="1"/>
    <col min="11266" max="11266" width="13.28515625" customWidth="1"/>
    <col min="11267" max="11267" width="12.7109375" customWidth="1"/>
    <col min="11508" max="11508" width="1.42578125" customWidth="1"/>
    <col min="11509" max="11509" width="4.5703125" customWidth="1"/>
    <col min="11510" max="11510" width="5.140625" customWidth="1"/>
    <col min="11511" max="11511" width="4" customWidth="1"/>
    <col min="11512" max="11512" width="6.85546875" customWidth="1"/>
    <col min="11513" max="11513" width="9.7109375" customWidth="1"/>
    <col min="11514" max="11514" width="45.7109375" customWidth="1"/>
    <col min="11515" max="11515" width="13" customWidth="1"/>
    <col min="11516" max="11516" width="11.5703125" customWidth="1"/>
    <col min="11517" max="11517" width="12.85546875" customWidth="1"/>
    <col min="11518" max="11518" width="0.42578125" customWidth="1"/>
    <col min="11519" max="11519" width="1.85546875" customWidth="1"/>
    <col min="11520" max="11521" width="13.140625" customWidth="1"/>
    <col min="11522" max="11522" width="13.28515625" customWidth="1"/>
    <col min="11523" max="11523" width="12.7109375" customWidth="1"/>
    <col min="11764" max="11764" width="1.42578125" customWidth="1"/>
    <col min="11765" max="11765" width="4.5703125" customWidth="1"/>
    <col min="11766" max="11766" width="5.140625" customWidth="1"/>
    <col min="11767" max="11767" width="4" customWidth="1"/>
    <col min="11768" max="11768" width="6.85546875" customWidth="1"/>
    <col min="11769" max="11769" width="9.7109375" customWidth="1"/>
    <col min="11770" max="11770" width="45.7109375" customWidth="1"/>
    <col min="11771" max="11771" width="13" customWidth="1"/>
    <col min="11772" max="11772" width="11.5703125" customWidth="1"/>
    <col min="11773" max="11773" width="12.85546875" customWidth="1"/>
    <col min="11774" max="11774" width="0.42578125" customWidth="1"/>
    <col min="11775" max="11775" width="1.85546875" customWidth="1"/>
    <col min="11776" max="11777" width="13.140625" customWidth="1"/>
    <col min="11778" max="11778" width="13.28515625" customWidth="1"/>
    <col min="11779" max="11779" width="12.7109375" customWidth="1"/>
    <col min="12020" max="12020" width="1.42578125" customWidth="1"/>
    <col min="12021" max="12021" width="4.5703125" customWidth="1"/>
    <col min="12022" max="12022" width="5.140625" customWidth="1"/>
    <col min="12023" max="12023" width="4" customWidth="1"/>
    <col min="12024" max="12024" width="6.85546875" customWidth="1"/>
    <col min="12025" max="12025" width="9.7109375" customWidth="1"/>
    <col min="12026" max="12026" width="45.7109375" customWidth="1"/>
    <col min="12027" max="12027" width="13" customWidth="1"/>
    <col min="12028" max="12028" width="11.5703125" customWidth="1"/>
    <col min="12029" max="12029" width="12.85546875" customWidth="1"/>
    <col min="12030" max="12030" width="0.42578125" customWidth="1"/>
    <col min="12031" max="12031" width="1.85546875" customWidth="1"/>
    <col min="12032" max="12033" width="13.140625" customWidth="1"/>
    <col min="12034" max="12034" width="13.28515625" customWidth="1"/>
    <col min="12035" max="12035" width="12.7109375" customWidth="1"/>
    <col min="12276" max="12276" width="1.42578125" customWidth="1"/>
    <col min="12277" max="12277" width="4.5703125" customWidth="1"/>
    <col min="12278" max="12278" width="5.140625" customWidth="1"/>
    <col min="12279" max="12279" width="4" customWidth="1"/>
    <col min="12280" max="12280" width="6.85546875" customWidth="1"/>
    <col min="12281" max="12281" width="9.7109375" customWidth="1"/>
    <col min="12282" max="12282" width="45.7109375" customWidth="1"/>
    <col min="12283" max="12283" width="13" customWidth="1"/>
    <col min="12284" max="12284" width="11.5703125" customWidth="1"/>
    <col min="12285" max="12285" width="12.85546875" customWidth="1"/>
    <col min="12286" max="12286" width="0.42578125" customWidth="1"/>
    <col min="12287" max="12287" width="1.85546875" customWidth="1"/>
    <col min="12288" max="12289" width="13.140625" customWidth="1"/>
    <col min="12290" max="12290" width="13.28515625" customWidth="1"/>
    <col min="12291" max="12291" width="12.7109375" customWidth="1"/>
    <col min="12532" max="12532" width="1.42578125" customWidth="1"/>
    <col min="12533" max="12533" width="4.5703125" customWidth="1"/>
    <col min="12534" max="12534" width="5.140625" customWidth="1"/>
    <col min="12535" max="12535" width="4" customWidth="1"/>
    <col min="12536" max="12536" width="6.85546875" customWidth="1"/>
    <col min="12537" max="12537" width="9.7109375" customWidth="1"/>
    <col min="12538" max="12538" width="45.7109375" customWidth="1"/>
    <col min="12539" max="12539" width="13" customWidth="1"/>
    <col min="12540" max="12540" width="11.5703125" customWidth="1"/>
    <col min="12541" max="12541" width="12.85546875" customWidth="1"/>
    <col min="12542" max="12542" width="0.42578125" customWidth="1"/>
    <col min="12543" max="12543" width="1.85546875" customWidth="1"/>
    <col min="12544" max="12545" width="13.140625" customWidth="1"/>
    <col min="12546" max="12546" width="13.28515625" customWidth="1"/>
    <col min="12547" max="12547" width="12.7109375" customWidth="1"/>
    <col min="12788" max="12788" width="1.42578125" customWidth="1"/>
    <col min="12789" max="12789" width="4.5703125" customWidth="1"/>
    <col min="12790" max="12790" width="5.140625" customWidth="1"/>
    <col min="12791" max="12791" width="4" customWidth="1"/>
    <col min="12792" max="12792" width="6.85546875" customWidth="1"/>
    <col min="12793" max="12793" width="9.7109375" customWidth="1"/>
    <col min="12794" max="12794" width="45.7109375" customWidth="1"/>
    <col min="12795" max="12795" width="13" customWidth="1"/>
    <col min="12796" max="12796" width="11.5703125" customWidth="1"/>
    <col min="12797" max="12797" width="12.85546875" customWidth="1"/>
    <col min="12798" max="12798" width="0.42578125" customWidth="1"/>
    <col min="12799" max="12799" width="1.85546875" customWidth="1"/>
    <col min="12800" max="12801" width="13.140625" customWidth="1"/>
    <col min="12802" max="12802" width="13.28515625" customWidth="1"/>
    <col min="12803" max="12803" width="12.7109375" customWidth="1"/>
    <col min="13044" max="13044" width="1.42578125" customWidth="1"/>
    <col min="13045" max="13045" width="4.5703125" customWidth="1"/>
    <col min="13046" max="13046" width="5.140625" customWidth="1"/>
    <col min="13047" max="13047" width="4" customWidth="1"/>
    <col min="13048" max="13048" width="6.85546875" customWidth="1"/>
    <col min="13049" max="13049" width="9.7109375" customWidth="1"/>
    <col min="13050" max="13050" width="45.7109375" customWidth="1"/>
    <col min="13051" max="13051" width="13" customWidth="1"/>
    <col min="13052" max="13052" width="11.5703125" customWidth="1"/>
    <col min="13053" max="13053" width="12.85546875" customWidth="1"/>
    <col min="13054" max="13054" width="0.42578125" customWidth="1"/>
    <col min="13055" max="13055" width="1.85546875" customWidth="1"/>
    <col min="13056" max="13057" width="13.140625" customWidth="1"/>
    <col min="13058" max="13058" width="13.28515625" customWidth="1"/>
    <col min="13059" max="13059" width="12.7109375" customWidth="1"/>
    <col min="13300" max="13300" width="1.42578125" customWidth="1"/>
    <col min="13301" max="13301" width="4.5703125" customWidth="1"/>
    <col min="13302" max="13302" width="5.140625" customWidth="1"/>
    <col min="13303" max="13303" width="4" customWidth="1"/>
    <col min="13304" max="13304" width="6.85546875" customWidth="1"/>
    <col min="13305" max="13305" width="9.7109375" customWidth="1"/>
    <col min="13306" max="13306" width="45.7109375" customWidth="1"/>
    <col min="13307" max="13307" width="13" customWidth="1"/>
    <col min="13308" max="13308" width="11.5703125" customWidth="1"/>
    <col min="13309" max="13309" width="12.85546875" customWidth="1"/>
    <col min="13310" max="13310" width="0.42578125" customWidth="1"/>
    <col min="13311" max="13311" width="1.85546875" customWidth="1"/>
    <col min="13312" max="13313" width="13.140625" customWidth="1"/>
    <col min="13314" max="13314" width="13.28515625" customWidth="1"/>
    <col min="13315" max="13315" width="12.7109375" customWidth="1"/>
    <col min="13556" max="13556" width="1.42578125" customWidth="1"/>
    <col min="13557" max="13557" width="4.5703125" customWidth="1"/>
    <col min="13558" max="13558" width="5.140625" customWidth="1"/>
    <col min="13559" max="13559" width="4" customWidth="1"/>
    <col min="13560" max="13560" width="6.85546875" customWidth="1"/>
    <col min="13561" max="13561" width="9.7109375" customWidth="1"/>
    <col min="13562" max="13562" width="45.7109375" customWidth="1"/>
    <col min="13563" max="13563" width="13" customWidth="1"/>
    <col min="13564" max="13564" width="11.5703125" customWidth="1"/>
    <col min="13565" max="13565" width="12.85546875" customWidth="1"/>
    <col min="13566" max="13566" width="0.42578125" customWidth="1"/>
    <col min="13567" max="13567" width="1.85546875" customWidth="1"/>
    <col min="13568" max="13569" width="13.140625" customWidth="1"/>
    <col min="13570" max="13570" width="13.28515625" customWidth="1"/>
    <col min="13571" max="13571" width="12.7109375" customWidth="1"/>
    <col min="13812" max="13812" width="1.42578125" customWidth="1"/>
    <col min="13813" max="13813" width="4.5703125" customWidth="1"/>
    <col min="13814" max="13814" width="5.140625" customWidth="1"/>
    <col min="13815" max="13815" width="4" customWidth="1"/>
    <col min="13816" max="13816" width="6.85546875" customWidth="1"/>
    <col min="13817" max="13817" width="9.7109375" customWidth="1"/>
    <col min="13818" max="13818" width="45.7109375" customWidth="1"/>
    <col min="13819" max="13819" width="13" customWidth="1"/>
    <col min="13820" max="13820" width="11.5703125" customWidth="1"/>
    <col min="13821" max="13821" width="12.85546875" customWidth="1"/>
    <col min="13822" max="13822" width="0.42578125" customWidth="1"/>
    <col min="13823" max="13823" width="1.85546875" customWidth="1"/>
    <col min="13824" max="13825" width="13.140625" customWidth="1"/>
    <col min="13826" max="13826" width="13.28515625" customWidth="1"/>
    <col min="13827" max="13827" width="12.7109375" customWidth="1"/>
    <col min="14068" max="14068" width="1.42578125" customWidth="1"/>
    <col min="14069" max="14069" width="4.5703125" customWidth="1"/>
    <col min="14070" max="14070" width="5.140625" customWidth="1"/>
    <col min="14071" max="14071" width="4" customWidth="1"/>
    <col min="14072" max="14072" width="6.85546875" customWidth="1"/>
    <col min="14073" max="14073" width="9.7109375" customWidth="1"/>
    <col min="14074" max="14074" width="45.7109375" customWidth="1"/>
    <col min="14075" max="14075" width="13" customWidth="1"/>
    <col min="14076" max="14076" width="11.5703125" customWidth="1"/>
    <col min="14077" max="14077" width="12.85546875" customWidth="1"/>
    <col min="14078" max="14078" width="0.42578125" customWidth="1"/>
    <col min="14079" max="14079" width="1.85546875" customWidth="1"/>
    <col min="14080" max="14081" width="13.140625" customWidth="1"/>
    <col min="14082" max="14082" width="13.28515625" customWidth="1"/>
    <col min="14083" max="14083" width="12.7109375" customWidth="1"/>
    <col min="14324" max="14324" width="1.42578125" customWidth="1"/>
    <col min="14325" max="14325" width="4.5703125" customWidth="1"/>
    <col min="14326" max="14326" width="5.140625" customWidth="1"/>
    <col min="14327" max="14327" width="4" customWidth="1"/>
    <col min="14328" max="14328" width="6.85546875" customWidth="1"/>
    <col min="14329" max="14329" width="9.7109375" customWidth="1"/>
    <col min="14330" max="14330" width="45.7109375" customWidth="1"/>
    <col min="14331" max="14331" width="13" customWidth="1"/>
    <col min="14332" max="14332" width="11.5703125" customWidth="1"/>
    <col min="14333" max="14333" width="12.85546875" customWidth="1"/>
    <col min="14334" max="14334" width="0.42578125" customWidth="1"/>
    <col min="14335" max="14335" width="1.85546875" customWidth="1"/>
    <col min="14336" max="14337" width="13.140625" customWidth="1"/>
    <col min="14338" max="14338" width="13.28515625" customWidth="1"/>
    <col min="14339" max="14339" width="12.7109375" customWidth="1"/>
    <col min="14580" max="14580" width="1.42578125" customWidth="1"/>
    <col min="14581" max="14581" width="4.5703125" customWidth="1"/>
    <col min="14582" max="14582" width="5.140625" customWidth="1"/>
    <col min="14583" max="14583" width="4" customWidth="1"/>
    <col min="14584" max="14584" width="6.85546875" customWidth="1"/>
    <col min="14585" max="14585" width="9.7109375" customWidth="1"/>
    <col min="14586" max="14586" width="45.7109375" customWidth="1"/>
    <col min="14587" max="14587" width="13" customWidth="1"/>
    <col min="14588" max="14588" width="11.5703125" customWidth="1"/>
    <col min="14589" max="14589" width="12.85546875" customWidth="1"/>
    <col min="14590" max="14590" width="0.42578125" customWidth="1"/>
    <col min="14591" max="14591" width="1.85546875" customWidth="1"/>
    <col min="14592" max="14593" width="13.140625" customWidth="1"/>
    <col min="14594" max="14594" width="13.28515625" customWidth="1"/>
    <col min="14595" max="14595" width="12.7109375" customWidth="1"/>
    <col min="14836" max="14836" width="1.42578125" customWidth="1"/>
    <col min="14837" max="14837" width="4.5703125" customWidth="1"/>
    <col min="14838" max="14838" width="5.140625" customWidth="1"/>
    <col min="14839" max="14839" width="4" customWidth="1"/>
    <col min="14840" max="14840" width="6.85546875" customWidth="1"/>
    <col min="14841" max="14841" width="9.7109375" customWidth="1"/>
    <col min="14842" max="14842" width="45.7109375" customWidth="1"/>
    <col min="14843" max="14843" width="13" customWidth="1"/>
    <col min="14844" max="14844" width="11.5703125" customWidth="1"/>
    <col min="14845" max="14845" width="12.85546875" customWidth="1"/>
    <col min="14846" max="14846" width="0.42578125" customWidth="1"/>
    <col min="14847" max="14847" width="1.85546875" customWidth="1"/>
    <col min="14848" max="14849" width="13.140625" customWidth="1"/>
    <col min="14850" max="14850" width="13.28515625" customWidth="1"/>
    <col min="14851" max="14851" width="12.7109375" customWidth="1"/>
    <col min="15092" max="15092" width="1.42578125" customWidth="1"/>
    <col min="15093" max="15093" width="4.5703125" customWidth="1"/>
    <col min="15094" max="15094" width="5.140625" customWidth="1"/>
    <col min="15095" max="15095" width="4" customWidth="1"/>
    <col min="15096" max="15096" width="6.85546875" customWidth="1"/>
    <col min="15097" max="15097" width="9.7109375" customWidth="1"/>
    <col min="15098" max="15098" width="45.7109375" customWidth="1"/>
    <col min="15099" max="15099" width="13" customWidth="1"/>
    <col min="15100" max="15100" width="11.5703125" customWidth="1"/>
    <col min="15101" max="15101" width="12.85546875" customWidth="1"/>
    <col min="15102" max="15102" width="0.42578125" customWidth="1"/>
    <col min="15103" max="15103" width="1.85546875" customWidth="1"/>
    <col min="15104" max="15105" width="13.140625" customWidth="1"/>
    <col min="15106" max="15106" width="13.28515625" customWidth="1"/>
    <col min="15107" max="15107" width="12.7109375" customWidth="1"/>
    <col min="15348" max="15348" width="1.42578125" customWidth="1"/>
    <col min="15349" max="15349" width="4.5703125" customWidth="1"/>
    <col min="15350" max="15350" width="5.140625" customWidth="1"/>
    <col min="15351" max="15351" width="4" customWidth="1"/>
    <col min="15352" max="15352" width="6.85546875" customWidth="1"/>
    <col min="15353" max="15353" width="9.7109375" customWidth="1"/>
    <col min="15354" max="15354" width="45.7109375" customWidth="1"/>
    <col min="15355" max="15355" width="13" customWidth="1"/>
    <col min="15356" max="15356" width="11.5703125" customWidth="1"/>
    <col min="15357" max="15357" width="12.85546875" customWidth="1"/>
    <col min="15358" max="15358" width="0.42578125" customWidth="1"/>
    <col min="15359" max="15359" width="1.85546875" customWidth="1"/>
    <col min="15360" max="15361" width="13.140625" customWidth="1"/>
    <col min="15362" max="15362" width="13.28515625" customWidth="1"/>
    <col min="15363" max="15363" width="12.7109375" customWidth="1"/>
    <col min="15604" max="15604" width="1.42578125" customWidth="1"/>
    <col min="15605" max="15605" width="4.5703125" customWidth="1"/>
    <col min="15606" max="15606" width="5.140625" customWidth="1"/>
    <col min="15607" max="15607" width="4" customWidth="1"/>
    <col min="15608" max="15608" width="6.85546875" customWidth="1"/>
    <col min="15609" max="15609" width="9.7109375" customWidth="1"/>
    <col min="15610" max="15610" width="45.7109375" customWidth="1"/>
    <col min="15611" max="15611" width="13" customWidth="1"/>
    <col min="15612" max="15612" width="11.5703125" customWidth="1"/>
    <col min="15613" max="15613" width="12.85546875" customWidth="1"/>
    <col min="15614" max="15614" width="0.42578125" customWidth="1"/>
    <col min="15615" max="15615" width="1.85546875" customWidth="1"/>
    <col min="15616" max="15617" width="13.140625" customWidth="1"/>
    <col min="15618" max="15618" width="13.28515625" customWidth="1"/>
    <col min="15619" max="15619" width="12.7109375" customWidth="1"/>
    <col min="15860" max="15860" width="1.42578125" customWidth="1"/>
    <col min="15861" max="15861" width="4.5703125" customWidth="1"/>
    <col min="15862" max="15862" width="5.140625" customWidth="1"/>
    <col min="15863" max="15863" width="4" customWidth="1"/>
    <col min="15864" max="15864" width="6.85546875" customWidth="1"/>
    <col min="15865" max="15865" width="9.7109375" customWidth="1"/>
    <col min="15866" max="15866" width="45.7109375" customWidth="1"/>
    <col min="15867" max="15867" width="13" customWidth="1"/>
    <col min="15868" max="15868" width="11.5703125" customWidth="1"/>
    <col min="15869" max="15869" width="12.85546875" customWidth="1"/>
    <col min="15870" max="15870" width="0.42578125" customWidth="1"/>
    <col min="15871" max="15871" width="1.85546875" customWidth="1"/>
    <col min="15872" max="15873" width="13.140625" customWidth="1"/>
    <col min="15874" max="15874" width="13.28515625" customWidth="1"/>
    <col min="15875" max="15875" width="12.7109375" customWidth="1"/>
    <col min="16116" max="16116" width="1.42578125" customWidth="1"/>
    <col min="16117" max="16117" width="4.5703125" customWidth="1"/>
    <col min="16118" max="16118" width="5.140625" customWidth="1"/>
    <col min="16119" max="16119" width="4" customWidth="1"/>
    <col min="16120" max="16120" width="6.85546875" customWidth="1"/>
    <col min="16121" max="16121" width="9.7109375" customWidth="1"/>
    <col min="16122" max="16122" width="45.7109375" customWidth="1"/>
    <col min="16123" max="16123" width="13" customWidth="1"/>
    <col min="16124" max="16124" width="11.5703125" customWidth="1"/>
    <col min="16125" max="16125" width="12.85546875" customWidth="1"/>
    <col min="16126" max="16126" width="0.42578125" customWidth="1"/>
    <col min="16127" max="16127" width="1.85546875" customWidth="1"/>
    <col min="16128" max="16129" width="13.140625" customWidth="1"/>
    <col min="16130" max="16130" width="13.28515625" customWidth="1"/>
    <col min="16131" max="16131" width="12.7109375" customWidth="1"/>
  </cols>
  <sheetData>
    <row r="2" spans="2:15" ht="61.5" customHeight="1" x14ac:dyDescent="0.5">
      <c r="B2" s="278" t="s">
        <v>933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4" spans="2:15" ht="15" customHeight="1" x14ac:dyDescent="0.25">
      <c r="B4" s="262" t="s">
        <v>0</v>
      </c>
      <c r="C4" s="263"/>
      <c r="D4" s="263"/>
      <c r="E4" s="263"/>
      <c r="F4" s="263"/>
      <c r="G4" s="264"/>
      <c r="H4" s="268" t="s">
        <v>934</v>
      </c>
      <c r="I4" s="271" t="s">
        <v>1</v>
      </c>
      <c r="J4" s="271" t="s">
        <v>2</v>
      </c>
      <c r="K4" s="251" t="s">
        <v>3</v>
      </c>
      <c r="L4" s="251" t="s">
        <v>4</v>
      </c>
    </row>
    <row r="5" spans="2:15" x14ac:dyDescent="0.25">
      <c r="B5" s="265"/>
      <c r="C5" s="266"/>
      <c r="D5" s="266"/>
      <c r="E5" s="266"/>
      <c r="F5" s="266"/>
      <c r="G5" s="267"/>
      <c r="H5" s="269"/>
      <c r="I5" s="272"/>
      <c r="J5" s="272"/>
      <c r="K5" s="252"/>
      <c r="L5" s="252"/>
    </row>
    <row r="6" spans="2:15" ht="4.5" customHeight="1" x14ac:dyDescent="0.25">
      <c r="B6" s="254" t="s">
        <v>5</v>
      </c>
      <c r="C6" s="256" t="s">
        <v>6</v>
      </c>
      <c r="D6" s="258" t="s">
        <v>7</v>
      </c>
      <c r="E6" s="258" t="s">
        <v>8</v>
      </c>
      <c r="F6" s="258" t="s">
        <v>9</v>
      </c>
      <c r="G6" s="260" t="s">
        <v>10</v>
      </c>
      <c r="H6" s="269"/>
      <c r="I6" s="272"/>
      <c r="J6" s="272"/>
      <c r="K6" s="252"/>
      <c r="L6" s="252"/>
    </row>
    <row r="7" spans="2:15" ht="15.75" thickBot="1" x14ac:dyDescent="0.3">
      <c r="B7" s="255"/>
      <c r="C7" s="257"/>
      <c r="D7" s="259"/>
      <c r="E7" s="259"/>
      <c r="F7" s="259"/>
      <c r="G7" s="261"/>
      <c r="H7" s="270"/>
      <c r="I7" s="273"/>
      <c r="J7" s="273"/>
      <c r="K7" s="253"/>
      <c r="L7" s="253"/>
    </row>
    <row r="8" spans="2:15" ht="17.25" thickTop="1" thickBot="1" x14ac:dyDescent="0.3">
      <c r="B8" s="116">
        <v>1</v>
      </c>
      <c r="C8" s="31">
        <v>100</v>
      </c>
      <c r="D8" s="31"/>
      <c r="E8" s="31"/>
      <c r="F8" s="31"/>
      <c r="G8" s="1" t="s">
        <v>11</v>
      </c>
      <c r="H8" s="2">
        <f>H9</f>
        <v>26010000</v>
      </c>
      <c r="I8" s="2">
        <f t="shared" ref="I8:L8" si="0">I9</f>
        <v>23186000</v>
      </c>
      <c r="J8" s="2">
        <f t="shared" si="0"/>
        <v>23369634</v>
      </c>
      <c r="K8" s="2">
        <f t="shared" si="0"/>
        <v>23571977.939999998</v>
      </c>
      <c r="L8" s="2">
        <f t="shared" si="0"/>
        <v>21389938</v>
      </c>
    </row>
    <row r="9" spans="2:15" ht="15.75" thickBot="1" x14ac:dyDescent="0.3">
      <c r="B9" s="117">
        <f>B8+1</f>
        <v>2</v>
      </c>
      <c r="C9" s="32"/>
      <c r="D9" s="32"/>
      <c r="E9" s="32"/>
      <c r="F9" s="32"/>
      <c r="G9" s="3" t="s">
        <v>12</v>
      </c>
      <c r="H9" s="4">
        <f>H10+H13+H18</f>
        <v>26010000</v>
      </c>
      <c r="I9" s="4">
        <f t="shared" ref="I9:L9" si="1">I18+I13+I10</f>
        <v>23186000</v>
      </c>
      <c r="J9" s="4">
        <f t="shared" si="1"/>
        <v>23369634</v>
      </c>
      <c r="K9" s="4">
        <f t="shared" si="1"/>
        <v>23571977.939999998</v>
      </c>
      <c r="L9" s="4">
        <f t="shared" si="1"/>
        <v>21389938</v>
      </c>
    </row>
    <row r="10" spans="2:15" x14ac:dyDescent="0.25">
      <c r="B10" s="43">
        <f>B9+1</f>
        <v>3</v>
      </c>
      <c r="C10" s="33">
        <v>110</v>
      </c>
      <c r="D10" s="33"/>
      <c r="E10" s="33"/>
      <c r="F10" s="33"/>
      <c r="G10" s="5" t="s">
        <v>13</v>
      </c>
      <c r="H10" s="6">
        <f>H11</f>
        <v>17850000</v>
      </c>
      <c r="I10" s="6">
        <f t="shared" ref="I10:L11" si="2">I11</f>
        <v>15150000</v>
      </c>
      <c r="J10" s="6">
        <f t="shared" si="2"/>
        <v>15333634</v>
      </c>
      <c r="K10" s="6">
        <f t="shared" si="2"/>
        <v>15333628.689999999</v>
      </c>
      <c r="L10" s="6">
        <f t="shared" si="2"/>
        <v>13566723</v>
      </c>
      <c r="N10" s="93"/>
      <c r="O10" s="93"/>
    </row>
    <row r="11" spans="2:15" x14ac:dyDescent="0.25">
      <c r="B11" s="43">
        <f>B10+1</f>
        <v>4</v>
      </c>
      <c r="C11" s="34"/>
      <c r="D11" s="34">
        <v>111</v>
      </c>
      <c r="E11" s="34"/>
      <c r="F11" s="34"/>
      <c r="G11" s="7" t="s">
        <v>14</v>
      </c>
      <c r="H11" s="8">
        <f>H12</f>
        <v>17850000</v>
      </c>
      <c r="I11" s="8">
        <f t="shared" si="2"/>
        <v>15150000</v>
      </c>
      <c r="J11" s="8">
        <f t="shared" si="2"/>
        <v>15333634</v>
      </c>
      <c r="K11" s="8">
        <f t="shared" si="2"/>
        <v>15333628.689999999</v>
      </c>
      <c r="L11" s="8">
        <f t="shared" si="2"/>
        <v>13566723</v>
      </c>
      <c r="N11" s="151"/>
      <c r="O11" s="93"/>
    </row>
    <row r="12" spans="2:15" x14ac:dyDescent="0.25">
      <c r="B12" s="43">
        <f t="shared" ref="B12:B25" si="3">B11+1</f>
        <v>5</v>
      </c>
      <c r="C12" s="35"/>
      <c r="D12" s="35"/>
      <c r="E12" s="35">
        <v>111003</v>
      </c>
      <c r="F12" s="35"/>
      <c r="G12" s="9" t="s">
        <v>15</v>
      </c>
      <c r="H12" s="10">
        <f>17000000+500000+350000</f>
        <v>17850000</v>
      </c>
      <c r="I12" s="10">
        <v>15150000</v>
      </c>
      <c r="J12" s="10">
        <v>15333634</v>
      </c>
      <c r="K12" s="10">
        <v>15333628.689999999</v>
      </c>
      <c r="L12" s="10">
        <v>13566723</v>
      </c>
      <c r="N12" s="93"/>
      <c r="O12" s="93"/>
    </row>
    <row r="13" spans="2:15" x14ac:dyDescent="0.25">
      <c r="B13" s="43">
        <f t="shared" si="3"/>
        <v>6</v>
      </c>
      <c r="C13" s="33">
        <v>120</v>
      </c>
      <c r="D13" s="33"/>
      <c r="E13" s="33"/>
      <c r="F13" s="33"/>
      <c r="G13" s="5" t="s">
        <v>16</v>
      </c>
      <c r="H13" s="6">
        <f>H14</f>
        <v>5550000</v>
      </c>
      <c r="I13" s="6">
        <f t="shared" ref="I13:L13" si="4">I14</f>
        <v>5450000</v>
      </c>
      <c r="J13" s="6">
        <f t="shared" si="4"/>
        <v>5450000</v>
      </c>
      <c r="K13" s="6">
        <f t="shared" si="4"/>
        <v>5781010</v>
      </c>
      <c r="L13" s="6">
        <f t="shared" si="4"/>
        <v>5396682</v>
      </c>
      <c r="N13" s="93"/>
      <c r="O13" s="93"/>
    </row>
    <row r="14" spans="2:15" x14ac:dyDescent="0.25">
      <c r="B14" s="43">
        <f t="shared" si="3"/>
        <v>7</v>
      </c>
      <c r="C14" s="34"/>
      <c r="D14" s="34">
        <v>121</v>
      </c>
      <c r="E14" s="34"/>
      <c r="F14" s="34"/>
      <c r="G14" s="7" t="s">
        <v>17</v>
      </c>
      <c r="H14" s="8">
        <f>H15+H16+H17</f>
        <v>5550000</v>
      </c>
      <c r="I14" s="8">
        <f t="shared" ref="I14:L14" si="5">I17+I16+I15</f>
        <v>5450000</v>
      </c>
      <c r="J14" s="8">
        <f t="shared" si="5"/>
        <v>5450000</v>
      </c>
      <c r="K14" s="8">
        <f t="shared" si="5"/>
        <v>5781010</v>
      </c>
      <c r="L14" s="8">
        <f t="shared" si="5"/>
        <v>5396682</v>
      </c>
    </row>
    <row r="15" spans="2:15" x14ac:dyDescent="0.25">
      <c r="B15" s="43">
        <f t="shared" si="3"/>
        <v>8</v>
      </c>
      <c r="C15" s="35"/>
      <c r="D15" s="35"/>
      <c r="E15" s="35">
        <v>121001</v>
      </c>
      <c r="F15" s="35"/>
      <c r="G15" s="9" t="s">
        <v>18</v>
      </c>
      <c r="H15" s="10">
        <v>550000</v>
      </c>
      <c r="I15" s="10">
        <v>565000</v>
      </c>
      <c r="J15" s="10">
        <v>565000</v>
      </c>
      <c r="K15" s="10">
        <v>578762</v>
      </c>
      <c r="L15" s="10">
        <v>565487</v>
      </c>
    </row>
    <row r="16" spans="2:15" x14ac:dyDescent="0.25">
      <c r="B16" s="43">
        <f t="shared" si="3"/>
        <v>9</v>
      </c>
      <c r="C16" s="35"/>
      <c r="D16" s="35"/>
      <c r="E16" s="35">
        <v>121002</v>
      </c>
      <c r="F16" s="35"/>
      <c r="G16" s="9" t="s">
        <v>19</v>
      </c>
      <c r="H16" s="10">
        <f>4700000-50000</f>
        <v>4650000</v>
      </c>
      <c r="I16" s="10">
        <v>4500000</v>
      </c>
      <c r="J16" s="10">
        <v>4500000</v>
      </c>
      <c r="K16" s="10">
        <v>4821558</v>
      </c>
      <c r="L16" s="10">
        <v>4449194</v>
      </c>
    </row>
    <row r="17" spans="2:12" x14ac:dyDescent="0.25">
      <c r="B17" s="43">
        <f t="shared" si="3"/>
        <v>10</v>
      </c>
      <c r="C17" s="35"/>
      <c r="D17" s="35"/>
      <c r="E17" s="35">
        <v>121003</v>
      </c>
      <c r="F17" s="35"/>
      <c r="G17" s="9" t="s">
        <v>20</v>
      </c>
      <c r="H17" s="10">
        <v>350000</v>
      </c>
      <c r="I17" s="10">
        <v>385000</v>
      </c>
      <c r="J17" s="10">
        <v>385000</v>
      </c>
      <c r="K17" s="10">
        <v>380690</v>
      </c>
      <c r="L17" s="10">
        <v>382001</v>
      </c>
    </row>
    <row r="18" spans="2:12" x14ac:dyDescent="0.25">
      <c r="B18" s="43">
        <f t="shared" si="3"/>
        <v>11</v>
      </c>
      <c r="C18" s="33">
        <v>130</v>
      </c>
      <c r="D18" s="33"/>
      <c r="E18" s="33"/>
      <c r="F18" s="33"/>
      <c r="G18" s="5" t="s">
        <v>21</v>
      </c>
      <c r="H18" s="6">
        <f>H19</f>
        <v>2610000</v>
      </c>
      <c r="I18" s="6">
        <f t="shared" ref="I18:L18" si="6">I19</f>
        <v>2586000</v>
      </c>
      <c r="J18" s="6">
        <f t="shared" si="6"/>
        <v>2586000</v>
      </c>
      <c r="K18" s="6">
        <f t="shared" si="6"/>
        <v>2457339.25</v>
      </c>
      <c r="L18" s="6">
        <f t="shared" si="6"/>
        <v>2426533</v>
      </c>
    </row>
    <row r="19" spans="2:12" x14ac:dyDescent="0.25">
      <c r="B19" s="43">
        <f t="shared" si="3"/>
        <v>12</v>
      </c>
      <c r="C19" s="34"/>
      <c r="D19" s="34">
        <v>133</v>
      </c>
      <c r="E19" s="34"/>
      <c r="F19" s="34"/>
      <c r="G19" s="7" t="s">
        <v>22</v>
      </c>
      <c r="H19" s="8">
        <f>SUM(H20:H23)</f>
        <v>2610000</v>
      </c>
      <c r="I19" s="8">
        <f t="shared" ref="I19:L19" si="7">I23+I22+I21+I20</f>
        <v>2586000</v>
      </c>
      <c r="J19" s="8">
        <f t="shared" si="7"/>
        <v>2586000</v>
      </c>
      <c r="K19" s="8">
        <f t="shared" si="7"/>
        <v>2457339.25</v>
      </c>
      <c r="L19" s="8">
        <f t="shared" si="7"/>
        <v>2426533</v>
      </c>
    </row>
    <row r="20" spans="2:12" x14ac:dyDescent="0.25">
      <c r="B20" s="43">
        <f t="shared" si="3"/>
        <v>13</v>
      </c>
      <c r="C20" s="35"/>
      <c r="D20" s="35"/>
      <c r="E20" s="35">
        <v>133001</v>
      </c>
      <c r="F20" s="35"/>
      <c r="G20" s="9" t="s">
        <v>23</v>
      </c>
      <c r="H20" s="10">
        <v>55000</v>
      </c>
      <c r="I20" s="10">
        <v>53000</v>
      </c>
      <c r="J20" s="10">
        <v>53000</v>
      </c>
      <c r="K20" s="10">
        <v>55615.44</v>
      </c>
      <c r="L20" s="10">
        <v>56018</v>
      </c>
    </row>
    <row r="21" spans="2:12" x14ac:dyDescent="0.25">
      <c r="B21" s="43">
        <f t="shared" si="3"/>
        <v>14</v>
      </c>
      <c r="C21" s="35"/>
      <c r="D21" s="35"/>
      <c r="E21" s="35">
        <v>133006</v>
      </c>
      <c r="F21" s="35"/>
      <c r="G21" s="9" t="s">
        <v>24</v>
      </c>
      <c r="H21" s="10">
        <v>85000</v>
      </c>
      <c r="I21" s="10">
        <v>68000</v>
      </c>
      <c r="J21" s="10">
        <v>68000</v>
      </c>
      <c r="K21" s="10">
        <v>47034.5</v>
      </c>
      <c r="L21" s="10">
        <v>41516</v>
      </c>
    </row>
    <row r="22" spans="2:12" x14ac:dyDescent="0.25">
      <c r="B22" s="43">
        <f t="shared" si="3"/>
        <v>15</v>
      </c>
      <c r="C22" s="35"/>
      <c r="D22" s="35"/>
      <c r="E22" s="35">
        <v>133012</v>
      </c>
      <c r="F22" s="35"/>
      <c r="G22" s="9" t="s">
        <v>25</v>
      </c>
      <c r="H22" s="10">
        <v>70000</v>
      </c>
      <c r="I22" s="10">
        <v>65000</v>
      </c>
      <c r="J22" s="10">
        <v>65000</v>
      </c>
      <c r="K22" s="10">
        <v>70246.33</v>
      </c>
      <c r="L22" s="10">
        <v>79897</v>
      </c>
    </row>
    <row r="23" spans="2:12" x14ac:dyDescent="0.25">
      <c r="B23" s="43">
        <f t="shared" si="3"/>
        <v>16</v>
      </c>
      <c r="C23" s="35"/>
      <c r="D23" s="35"/>
      <c r="E23" s="35">
        <v>133013</v>
      </c>
      <c r="F23" s="35"/>
      <c r="G23" s="9" t="s">
        <v>26</v>
      </c>
      <c r="H23" s="10">
        <v>2400000</v>
      </c>
      <c r="I23" s="10">
        <v>2400000</v>
      </c>
      <c r="J23" s="10">
        <v>2400000</v>
      </c>
      <c r="K23" s="10">
        <v>2284442.98</v>
      </c>
      <c r="L23" s="10">
        <v>2249102</v>
      </c>
    </row>
    <row r="24" spans="2:12" ht="16.5" thickBot="1" x14ac:dyDescent="0.3">
      <c r="B24" s="43">
        <f t="shared" si="3"/>
        <v>17</v>
      </c>
      <c r="C24" s="31">
        <v>200</v>
      </c>
      <c r="D24" s="31"/>
      <c r="E24" s="31"/>
      <c r="F24" s="31"/>
      <c r="G24" s="1" t="s">
        <v>27</v>
      </c>
      <c r="H24" s="2">
        <f>H25+H58+H62+H185+H192+H276+H378+H392+H405+H418+H432+H446+H461+H476+H492</f>
        <v>4133901</v>
      </c>
      <c r="I24" s="2">
        <f>I492+I476+I461+I446+I432+I418+I405+I392+I378+I276+I192+I185+I62+I58+I25</f>
        <v>2999820</v>
      </c>
      <c r="J24" s="2">
        <f>J492+J476+J461+J446+J432+J418+J405+J392+J378+J276+J192+J185+J62+J58+J25</f>
        <v>3332092</v>
      </c>
      <c r="K24" s="2">
        <f>K25+K58+K62+K185+K192+K276+K378+K392+K405+K418+K432+K446+K461+K476+K492</f>
        <v>3056332.7100000004</v>
      </c>
      <c r="L24" s="2">
        <f>L492+L476+L461+L446+L432+L418+L405+L392+L378+L276+L192+L185+L62+L58+L25</f>
        <v>3082800</v>
      </c>
    </row>
    <row r="25" spans="2:12" ht="15.75" thickBot="1" x14ac:dyDescent="0.3">
      <c r="B25" s="43">
        <f t="shared" si="3"/>
        <v>18</v>
      </c>
      <c r="C25" s="32"/>
      <c r="D25" s="32"/>
      <c r="E25" s="32"/>
      <c r="F25" s="32"/>
      <c r="G25" s="3" t="s">
        <v>12</v>
      </c>
      <c r="H25" s="4">
        <f>H26+H33+H46+H51</f>
        <v>1974101</v>
      </c>
      <c r="I25" s="4">
        <f>I51+I46+I33+I26</f>
        <v>1325620</v>
      </c>
      <c r="J25" s="4">
        <f>J51+J46+J33+J26</f>
        <v>1574840</v>
      </c>
      <c r="K25" s="4">
        <f>K51+K46+K33+K26</f>
        <v>1336227.71</v>
      </c>
      <c r="L25" s="4">
        <f>L51+L46+L33+L26</f>
        <v>1405424</v>
      </c>
    </row>
    <row r="26" spans="2:12" x14ac:dyDescent="0.25">
      <c r="B26" s="43">
        <f>B25+1</f>
        <v>19</v>
      </c>
      <c r="C26" s="33">
        <v>210</v>
      </c>
      <c r="D26" s="33"/>
      <c r="E26" s="33"/>
      <c r="F26" s="33"/>
      <c r="G26" s="5" t="s">
        <v>28</v>
      </c>
      <c r="H26" s="6">
        <f>H27+H29</f>
        <v>417000</v>
      </c>
      <c r="I26" s="6">
        <f>I29+I27</f>
        <v>463020</v>
      </c>
      <c r="J26" s="6">
        <f>J29+J27</f>
        <v>522059</v>
      </c>
      <c r="K26" s="6">
        <f>K29+K27</f>
        <v>406809.35</v>
      </c>
      <c r="L26" s="6">
        <f>L29+L27</f>
        <v>492164</v>
      </c>
    </row>
    <row r="27" spans="2:12" x14ac:dyDescent="0.25">
      <c r="B27" s="43">
        <f>B26+1</f>
        <v>20</v>
      </c>
      <c r="C27" s="34"/>
      <c r="D27" s="34">
        <v>211</v>
      </c>
      <c r="E27" s="34"/>
      <c r="F27" s="34"/>
      <c r="G27" s="7" t="s">
        <v>29</v>
      </c>
      <c r="H27" s="8">
        <f>H28</f>
        <v>0</v>
      </c>
      <c r="I27" s="8">
        <f t="shared" ref="I27:L27" si="8">I28</f>
        <v>0</v>
      </c>
      <c r="J27" s="8">
        <f t="shared" si="8"/>
        <v>59039</v>
      </c>
      <c r="K27" s="8">
        <f t="shared" si="8"/>
        <v>0</v>
      </c>
      <c r="L27" s="8">
        <f t="shared" si="8"/>
        <v>38975</v>
      </c>
    </row>
    <row r="28" spans="2:12" x14ac:dyDescent="0.25">
      <c r="B28" s="43">
        <f t="shared" ref="B28:B36" si="9">B27+1</f>
        <v>21</v>
      </c>
      <c r="C28" s="35"/>
      <c r="D28" s="35"/>
      <c r="E28" s="35">
        <v>211003</v>
      </c>
      <c r="F28" s="35"/>
      <c r="G28" s="9" t="s">
        <v>30</v>
      </c>
      <c r="H28" s="10">
        <v>0</v>
      </c>
      <c r="I28" s="10">
        <v>0</v>
      </c>
      <c r="J28" s="10">
        <v>59039</v>
      </c>
      <c r="K28" s="10"/>
      <c r="L28" s="10">
        <v>38975</v>
      </c>
    </row>
    <row r="29" spans="2:12" x14ac:dyDescent="0.25">
      <c r="B29" s="43">
        <f t="shared" si="9"/>
        <v>22</v>
      </c>
      <c r="C29" s="34"/>
      <c r="D29" s="34">
        <v>212</v>
      </c>
      <c r="E29" s="34"/>
      <c r="F29" s="34"/>
      <c r="G29" s="7" t="s">
        <v>31</v>
      </c>
      <c r="H29" s="8">
        <f>H30+H31+H32</f>
        <v>417000</v>
      </c>
      <c r="I29" s="8">
        <f t="shared" ref="I29:L29" si="10">I32+I31+I30</f>
        <v>463020</v>
      </c>
      <c r="J29" s="8">
        <f t="shared" si="10"/>
        <v>463020</v>
      </c>
      <c r="K29" s="8">
        <f t="shared" si="10"/>
        <v>406809.35</v>
      </c>
      <c r="L29" s="8">
        <f t="shared" si="10"/>
        <v>453189</v>
      </c>
    </row>
    <row r="30" spans="2:12" x14ac:dyDescent="0.25">
      <c r="B30" s="43">
        <f t="shared" si="9"/>
        <v>23</v>
      </c>
      <c r="C30" s="35"/>
      <c r="D30" s="35"/>
      <c r="E30" s="35">
        <v>212002</v>
      </c>
      <c r="F30" s="35"/>
      <c r="G30" s="9" t="s">
        <v>32</v>
      </c>
      <c r="H30" s="10">
        <v>90000</v>
      </c>
      <c r="I30" s="10">
        <v>89090</v>
      </c>
      <c r="J30" s="10">
        <v>89090</v>
      </c>
      <c r="K30" s="10">
        <v>107151.9</v>
      </c>
      <c r="L30" s="10">
        <v>106971</v>
      </c>
    </row>
    <row r="31" spans="2:12" x14ac:dyDescent="0.25">
      <c r="B31" s="43">
        <f t="shared" si="9"/>
        <v>24</v>
      </c>
      <c r="C31" s="35"/>
      <c r="D31" s="35"/>
      <c r="E31" s="35">
        <v>212003</v>
      </c>
      <c r="F31" s="35"/>
      <c r="G31" s="9" t="s">
        <v>33</v>
      </c>
      <c r="H31" s="10">
        <f>315000+12000</f>
        <v>327000</v>
      </c>
      <c r="I31" s="10">
        <v>373930</v>
      </c>
      <c r="J31" s="10">
        <v>373930</v>
      </c>
      <c r="K31" s="10">
        <v>299657.45</v>
      </c>
      <c r="L31" s="10">
        <v>343863</v>
      </c>
    </row>
    <row r="32" spans="2:12" x14ac:dyDescent="0.25">
      <c r="B32" s="43">
        <f t="shared" si="9"/>
        <v>25</v>
      </c>
      <c r="C32" s="35"/>
      <c r="D32" s="35"/>
      <c r="E32" s="35">
        <v>212004</v>
      </c>
      <c r="F32" s="35"/>
      <c r="G32" s="9" t="s">
        <v>34</v>
      </c>
      <c r="H32" s="10">
        <v>0</v>
      </c>
      <c r="I32" s="10">
        <v>0</v>
      </c>
      <c r="J32" s="10"/>
      <c r="K32" s="10"/>
      <c r="L32" s="10">
        <v>2355</v>
      </c>
    </row>
    <row r="33" spans="2:12" x14ac:dyDescent="0.25">
      <c r="B33" s="43">
        <f t="shared" si="9"/>
        <v>26</v>
      </c>
      <c r="C33" s="33">
        <v>220</v>
      </c>
      <c r="D33" s="33"/>
      <c r="E33" s="33"/>
      <c r="F33" s="33"/>
      <c r="G33" s="5" t="s">
        <v>35</v>
      </c>
      <c r="H33" s="6">
        <f>H34+H37+H39+H44</f>
        <v>981600</v>
      </c>
      <c r="I33" s="6">
        <f t="shared" ref="I33:L33" si="11">I44+I39+I37+I34</f>
        <v>460600</v>
      </c>
      <c r="J33" s="6">
        <f t="shared" si="11"/>
        <v>510600</v>
      </c>
      <c r="K33" s="6">
        <f t="shared" si="11"/>
        <v>503837.4</v>
      </c>
      <c r="L33" s="6">
        <f t="shared" si="11"/>
        <v>482472</v>
      </c>
    </row>
    <row r="34" spans="2:12" x14ac:dyDescent="0.25">
      <c r="B34" s="43">
        <f t="shared" si="9"/>
        <v>27</v>
      </c>
      <c r="C34" s="34"/>
      <c r="D34" s="34">
        <v>221</v>
      </c>
      <c r="E34" s="34"/>
      <c r="F34" s="34"/>
      <c r="G34" s="7" t="s">
        <v>36</v>
      </c>
      <c r="H34" s="8">
        <f>H35+H36</f>
        <v>290000</v>
      </c>
      <c r="I34" s="8">
        <f t="shared" ref="I34:L34" si="12">I36+I35</f>
        <v>289000</v>
      </c>
      <c r="J34" s="8">
        <f t="shared" si="12"/>
        <v>289000</v>
      </c>
      <c r="K34" s="8">
        <f t="shared" si="12"/>
        <v>280844.38</v>
      </c>
      <c r="L34" s="8">
        <f t="shared" si="12"/>
        <v>295162</v>
      </c>
    </row>
    <row r="35" spans="2:12" x14ac:dyDescent="0.25">
      <c r="B35" s="43">
        <f t="shared" si="9"/>
        <v>28</v>
      </c>
      <c r="C35" s="35"/>
      <c r="D35" s="35"/>
      <c r="E35" s="35">
        <v>221004</v>
      </c>
      <c r="F35" s="35"/>
      <c r="G35" s="9" t="s">
        <v>37</v>
      </c>
      <c r="H35" s="10">
        <v>175000</v>
      </c>
      <c r="I35" s="10">
        <v>173500</v>
      </c>
      <c r="J35" s="10">
        <v>173500</v>
      </c>
      <c r="K35" s="10">
        <v>175844.38</v>
      </c>
      <c r="L35" s="10">
        <v>179662</v>
      </c>
    </row>
    <row r="36" spans="2:12" x14ac:dyDescent="0.25">
      <c r="B36" s="43">
        <f t="shared" si="9"/>
        <v>29</v>
      </c>
      <c r="C36" s="35"/>
      <c r="D36" s="35"/>
      <c r="E36" s="35">
        <v>221005</v>
      </c>
      <c r="F36" s="35"/>
      <c r="G36" s="9" t="s">
        <v>38</v>
      </c>
      <c r="H36" s="10">
        <v>115000</v>
      </c>
      <c r="I36" s="10">
        <v>115500</v>
      </c>
      <c r="J36" s="10">
        <v>115500</v>
      </c>
      <c r="K36" s="10">
        <v>105000</v>
      </c>
      <c r="L36" s="10">
        <v>115500</v>
      </c>
    </row>
    <row r="37" spans="2:12" x14ac:dyDescent="0.25">
      <c r="B37" s="43">
        <f>B36+1</f>
        <v>30</v>
      </c>
      <c r="C37" s="34"/>
      <c r="D37" s="34">
        <v>222</v>
      </c>
      <c r="E37" s="34"/>
      <c r="F37" s="34"/>
      <c r="G37" s="7" t="s">
        <v>39</v>
      </c>
      <c r="H37" s="8">
        <f>H38</f>
        <v>90000</v>
      </c>
      <c r="I37" s="8">
        <f t="shared" ref="I37:L37" si="13">I38</f>
        <v>90000</v>
      </c>
      <c r="J37" s="8">
        <f t="shared" si="13"/>
        <v>90000</v>
      </c>
      <c r="K37" s="8">
        <f t="shared" si="13"/>
        <v>49622.9</v>
      </c>
      <c r="L37" s="8">
        <f t="shared" si="13"/>
        <v>89624</v>
      </c>
    </row>
    <row r="38" spans="2:12" x14ac:dyDescent="0.25">
      <c r="B38" s="43">
        <f>B37+1</f>
        <v>31</v>
      </c>
      <c r="C38" s="35"/>
      <c r="D38" s="35"/>
      <c r="E38" s="35">
        <v>222003</v>
      </c>
      <c r="F38" s="35"/>
      <c r="G38" s="9" t="s">
        <v>40</v>
      </c>
      <c r="H38" s="10">
        <v>90000</v>
      </c>
      <c r="I38" s="10">
        <v>90000</v>
      </c>
      <c r="J38" s="10">
        <v>90000</v>
      </c>
      <c r="K38" s="10">
        <v>49622.9</v>
      </c>
      <c r="L38" s="10">
        <v>89624</v>
      </c>
    </row>
    <row r="39" spans="2:12" x14ac:dyDescent="0.25">
      <c r="B39" s="43">
        <f t="shared" ref="B39:B102" si="14">B38+1</f>
        <v>32</v>
      </c>
      <c r="C39" s="34"/>
      <c r="D39" s="34">
        <v>223</v>
      </c>
      <c r="E39" s="34"/>
      <c r="F39" s="34"/>
      <c r="G39" s="7" t="s">
        <v>41</v>
      </c>
      <c r="H39" s="8">
        <f>H40+H42+H43</f>
        <v>600000</v>
      </c>
      <c r="I39" s="8">
        <f t="shared" ref="I39:L39" si="15">I42+I40</f>
        <v>80000</v>
      </c>
      <c r="J39" s="8">
        <f>J42+J40+J41</f>
        <v>130000</v>
      </c>
      <c r="K39" s="8">
        <f t="shared" si="15"/>
        <v>171735.12</v>
      </c>
      <c r="L39" s="8">
        <f t="shared" si="15"/>
        <v>95801</v>
      </c>
    </row>
    <row r="40" spans="2:12" x14ac:dyDescent="0.25">
      <c r="B40" s="43">
        <f t="shared" si="14"/>
        <v>33</v>
      </c>
      <c r="C40" s="35"/>
      <c r="D40" s="35"/>
      <c r="E40" s="35">
        <v>223001</v>
      </c>
      <c r="F40" s="35"/>
      <c r="G40" s="9" t="s">
        <v>42</v>
      </c>
      <c r="H40" s="10">
        <v>100000</v>
      </c>
      <c r="I40" s="10">
        <v>80000</v>
      </c>
      <c r="J40" s="10">
        <v>80000</v>
      </c>
      <c r="K40" s="10">
        <v>170942.12</v>
      </c>
      <c r="L40" s="10">
        <v>95761</v>
      </c>
    </row>
    <row r="41" spans="2:12" x14ac:dyDescent="0.25">
      <c r="B41" s="43">
        <f t="shared" si="14"/>
        <v>34</v>
      </c>
      <c r="C41" s="35"/>
      <c r="D41" s="35"/>
      <c r="E41" s="35">
        <v>223001</v>
      </c>
      <c r="F41" s="35"/>
      <c r="G41" s="9" t="s">
        <v>846</v>
      </c>
      <c r="H41" s="10"/>
      <c r="I41" s="10"/>
      <c r="J41" s="10">
        <v>50000</v>
      </c>
      <c r="K41" s="10"/>
      <c r="L41" s="10"/>
    </row>
    <row r="42" spans="2:12" x14ac:dyDescent="0.25">
      <c r="B42" s="43">
        <f t="shared" si="14"/>
        <v>35</v>
      </c>
      <c r="C42" s="35"/>
      <c r="D42" s="35"/>
      <c r="E42" s="35">
        <v>223004</v>
      </c>
      <c r="F42" s="35"/>
      <c r="G42" s="9" t="s">
        <v>43</v>
      </c>
      <c r="H42" s="10">
        <v>0</v>
      </c>
      <c r="I42" s="10">
        <v>0</v>
      </c>
      <c r="J42" s="10"/>
      <c r="K42" s="10">
        <v>793</v>
      </c>
      <c r="L42" s="10">
        <v>40</v>
      </c>
    </row>
    <row r="43" spans="2:12" x14ac:dyDescent="0.25">
      <c r="B43" s="43">
        <f t="shared" si="14"/>
        <v>36</v>
      </c>
      <c r="C43" s="35"/>
      <c r="D43" s="35"/>
      <c r="E43" s="140">
        <v>223</v>
      </c>
      <c r="F43" s="35"/>
      <c r="G43" s="9" t="s">
        <v>784</v>
      </c>
      <c r="H43" s="10">
        <v>500000</v>
      </c>
      <c r="I43" s="10"/>
      <c r="J43" s="10"/>
      <c r="K43" s="10"/>
      <c r="L43" s="10"/>
    </row>
    <row r="44" spans="2:12" x14ac:dyDescent="0.25">
      <c r="B44" s="43">
        <f t="shared" si="14"/>
        <v>37</v>
      </c>
      <c r="C44" s="34"/>
      <c r="D44" s="34">
        <v>229</v>
      </c>
      <c r="E44" s="34"/>
      <c r="F44" s="34"/>
      <c r="G44" s="7" t="s">
        <v>44</v>
      </c>
      <c r="H44" s="8">
        <f>H45</f>
        <v>1600</v>
      </c>
      <c r="I44" s="8">
        <f t="shared" ref="I44:L44" si="16">I45</f>
        <v>1600</v>
      </c>
      <c r="J44" s="8">
        <f t="shared" si="16"/>
        <v>1600</v>
      </c>
      <c r="K44" s="8">
        <f t="shared" si="16"/>
        <v>1635</v>
      </c>
      <c r="L44" s="8">
        <f t="shared" si="16"/>
        <v>1885</v>
      </c>
    </row>
    <row r="45" spans="2:12" x14ac:dyDescent="0.25">
      <c r="B45" s="43">
        <f t="shared" si="14"/>
        <v>38</v>
      </c>
      <c r="C45" s="35"/>
      <c r="D45" s="35"/>
      <c r="E45" s="35">
        <v>229005</v>
      </c>
      <c r="F45" s="35"/>
      <c r="G45" s="9" t="s">
        <v>45</v>
      </c>
      <c r="H45" s="10">
        <v>1600</v>
      </c>
      <c r="I45" s="10">
        <v>1600</v>
      </c>
      <c r="J45" s="10">
        <v>1600</v>
      </c>
      <c r="K45" s="10">
        <v>1635</v>
      </c>
      <c r="L45" s="10">
        <v>1885</v>
      </c>
    </row>
    <row r="46" spans="2:12" x14ac:dyDescent="0.25">
      <c r="B46" s="43">
        <f t="shared" si="14"/>
        <v>39</v>
      </c>
      <c r="C46" s="33">
        <v>240</v>
      </c>
      <c r="D46" s="33"/>
      <c r="E46" s="33"/>
      <c r="F46" s="33"/>
      <c r="G46" s="5" t="s">
        <v>46</v>
      </c>
      <c r="H46" s="6">
        <f>H47+H49</f>
        <v>4000</v>
      </c>
      <c r="I46" s="6">
        <f t="shared" ref="I46:L46" si="17">I47+I49</f>
        <v>2000</v>
      </c>
      <c r="J46" s="6">
        <f t="shared" si="17"/>
        <v>2000</v>
      </c>
      <c r="K46" s="6">
        <f t="shared" si="17"/>
        <v>3621.4</v>
      </c>
      <c r="L46" s="6">
        <f t="shared" si="17"/>
        <v>2336</v>
      </c>
    </row>
    <row r="47" spans="2:12" x14ac:dyDescent="0.25">
      <c r="B47" s="43">
        <f t="shared" si="14"/>
        <v>40</v>
      </c>
      <c r="C47" s="34"/>
      <c r="D47" s="34">
        <v>242</v>
      </c>
      <c r="E47" s="34"/>
      <c r="F47" s="34"/>
      <c r="G47" s="7" t="s">
        <v>47</v>
      </c>
      <c r="H47" s="8">
        <f>H48</f>
        <v>4000</v>
      </c>
      <c r="I47" s="8">
        <f t="shared" ref="I47:L47" si="18">I48</f>
        <v>2000</v>
      </c>
      <c r="J47" s="8">
        <f t="shared" si="18"/>
        <v>2000</v>
      </c>
      <c r="K47" s="8">
        <f t="shared" si="18"/>
        <v>3588.69</v>
      </c>
      <c r="L47" s="8">
        <f t="shared" si="18"/>
        <v>2336</v>
      </c>
    </row>
    <row r="48" spans="2:12" x14ac:dyDescent="0.25">
      <c r="B48" s="43">
        <f t="shared" si="14"/>
        <v>41</v>
      </c>
      <c r="C48" s="35"/>
      <c r="D48" s="35"/>
      <c r="E48" s="35">
        <v>242</v>
      </c>
      <c r="F48" s="35"/>
      <c r="G48" s="9" t="s">
        <v>47</v>
      </c>
      <c r="H48" s="10">
        <v>4000</v>
      </c>
      <c r="I48" s="10">
        <v>2000</v>
      </c>
      <c r="J48" s="10">
        <v>2000</v>
      </c>
      <c r="K48" s="10">
        <v>3588.69</v>
      </c>
      <c r="L48" s="10">
        <v>2336</v>
      </c>
    </row>
    <row r="49" spans="2:12" x14ac:dyDescent="0.25">
      <c r="B49" s="43">
        <f t="shared" si="14"/>
        <v>42</v>
      </c>
      <c r="C49" s="34"/>
      <c r="D49" s="34">
        <v>243</v>
      </c>
      <c r="E49" s="34"/>
      <c r="F49" s="34"/>
      <c r="G49" s="7" t="s">
        <v>48</v>
      </c>
      <c r="H49" s="8">
        <f>H50</f>
        <v>0</v>
      </c>
      <c r="I49" s="8">
        <f t="shared" ref="I49:L49" si="19">I50</f>
        <v>0</v>
      </c>
      <c r="J49" s="8">
        <f t="shared" si="19"/>
        <v>0</v>
      </c>
      <c r="K49" s="8">
        <f t="shared" si="19"/>
        <v>32.71</v>
      </c>
      <c r="L49" s="8">
        <f t="shared" si="19"/>
        <v>0</v>
      </c>
    </row>
    <row r="50" spans="2:12" x14ac:dyDescent="0.25">
      <c r="B50" s="43">
        <f t="shared" si="14"/>
        <v>43</v>
      </c>
      <c r="C50" s="35"/>
      <c r="D50" s="35"/>
      <c r="E50" s="35">
        <v>243</v>
      </c>
      <c r="F50" s="35"/>
      <c r="G50" s="9" t="s">
        <v>48</v>
      </c>
      <c r="H50" s="10">
        <v>0</v>
      </c>
      <c r="I50" s="10">
        <v>0</v>
      </c>
      <c r="J50" s="10"/>
      <c r="K50" s="10">
        <v>32.71</v>
      </c>
      <c r="L50" s="10">
        <v>0</v>
      </c>
    </row>
    <row r="51" spans="2:12" x14ac:dyDescent="0.25">
      <c r="B51" s="43">
        <f t="shared" si="14"/>
        <v>44</v>
      </c>
      <c r="C51" s="33">
        <v>290</v>
      </c>
      <c r="D51" s="33"/>
      <c r="E51" s="33"/>
      <c r="F51" s="33"/>
      <c r="G51" s="5" t="s">
        <v>49</v>
      </c>
      <c r="H51" s="6">
        <f>H52</f>
        <v>571501</v>
      </c>
      <c r="I51" s="6">
        <f t="shared" ref="I51:L51" si="20">I52</f>
        <v>400000</v>
      </c>
      <c r="J51" s="6">
        <f t="shared" si="20"/>
        <v>540181</v>
      </c>
      <c r="K51" s="6">
        <f t="shared" si="20"/>
        <v>421959.56000000006</v>
      </c>
      <c r="L51" s="6">
        <f t="shared" si="20"/>
        <v>428452</v>
      </c>
    </row>
    <row r="52" spans="2:12" x14ac:dyDescent="0.25">
      <c r="B52" s="43">
        <f t="shared" si="14"/>
        <v>45</v>
      </c>
      <c r="C52" s="34"/>
      <c r="D52" s="34">
        <v>292</v>
      </c>
      <c r="E52" s="34"/>
      <c r="F52" s="34"/>
      <c r="G52" s="7" t="s">
        <v>50</v>
      </c>
      <c r="H52" s="8">
        <f>SUM(H53:H57)</f>
        <v>571501</v>
      </c>
      <c r="I52" s="8">
        <f>I57+I56+I55+I54+I53</f>
        <v>400000</v>
      </c>
      <c r="J52" s="8">
        <f>J57+J56+J55+J54+J53</f>
        <v>540181</v>
      </c>
      <c r="K52" s="8">
        <f>K57+K56+K55+K54+K53</f>
        <v>421959.56000000006</v>
      </c>
      <c r="L52" s="8">
        <f>L57+L56+L55+L54+L53</f>
        <v>428452</v>
      </c>
    </row>
    <row r="53" spans="2:12" x14ac:dyDescent="0.25">
      <c r="B53" s="43">
        <f t="shared" si="14"/>
        <v>46</v>
      </c>
      <c r="C53" s="35"/>
      <c r="D53" s="35"/>
      <c r="E53" s="35">
        <v>292006</v>
      </c>
      <c r="F53" s="35"/>
      <c r="G53" s="9" t="s">
        <v>51</v>
      </c>
      <c r="H53" s="10">
        <v>0</v>
      </c>
      <c r="I53" s="10">
        <v>0</v>
      </c>
      <c r="J53" s="10"/>
      <c r="K53" s="10">
        <v>3577.07</v>
      </c>
      <c r="L53" s="10">
        <v>175</v>
      </c>
    </row>
    <row r="54" spans="2:12" x14ac:dyDescent="0.25">
      <c r="B54" s="43">
        <f t="shared" si="14"/>
        <v>47</v>
      </c>
      <c r="C54" s="35"/>
      <c r="D54" s="35"/>
      <c r="E54" s="35">
        <v>292008</v>
      </c>
      <c r="F54" s="35"/>
      <c r="G54" s="9" t="s">
        <v>52</v>
      </c>
      <c r="H54" s="10">
        <v>300000</v>
      </c>
      <c r="I54" s="10">
        <v>300000</v>
      </c>
      <c r="J54" s="10">
        <v>300000</v>
      </c>
      <c r="K54" s="10">
        <v>324746.34000000003</v>
      </c>
      <c r="L54" s="10">
        <v>278448</v>
      </c>
    </row>
    <row r="55" spans="2:12" x14ac:dyDescent="0.25">
      <c r="B55" s="43">
        <f t="shared" si="14"/>
        <v>48</v>
      </c>
      <c r="C55" s="35"/>
      <c r="D55" s="35"/>
      <c r="E55" s="35">
        <v>292012</v>
      </c>
      <c r="F55" s="35"/>
      <c r="G55" s="9" t="s">
        <v>53</v>
      </c>
      <c r="H55" s="10">
        <f>20000+10000</f>
        <v>30000</v>
      </c>
      <c r="I55" s="10">
        <v>0</v>
      </c>
      <c r="J55" s="10"/>
      <c r="K55" s="10">
        <v>14409.91</v>
      </c>
      <c r="L55" s="10">
        <v>39116</v>
      </c>
    </row>
    <row r="56" spans="2:12" x14ac:dyDescent="0.25">
      <c r="B56" s="43">
        <f t="shared" si="14"/>
        <v>49</v>
      </c>
      <c r="C56" s="35"/>
      <c r="D56" s="35"/>
      <c r="E56" s="35">
        <v>292017</v>
      </c>
      <c r="F56" s="35"/>
      <c r="G56" s="9" t="s">
        <v>54</v>
      </c>
      <c r="H56" s="10">
        <f>100000+10000</f>
        <v>110000</v>
      </c>
      <c r="I56" s="10">
        <v>0</v>
      </c>
      <c r="J56" s="10">
        <v>122054</v>
      </c>
      <c r="K56" s="10">
        <v>18509.060000000001</v>
      </c>
      <c r="L56" s="10">
        <v>53089</v>
      </c>
    </row>
    <row r="57" spans="2:12" ht="15.75" thickBot="1" x14ac:dyDescent="0.3">
      <c r="B57" s="43">
        <f t="shared" si="14"/>
        <v>50</v>
      </c>
      <c r="C57" s="35"/>
      <c r="D57" s="35"/>
      <c r="E57" s="35">
        <v>292027</v>
      </c>
      <c r="F57" s="35"/>
      <c r="G57" s="9" t="s">
        <v>56</v>
      </c>
      <c r="H57" s="10">
        <f>80000+11840+22500+4161+1000+12000</f>
        <v>131501</v>
      </c>
      <c r="I57" s="10">
        <v>100000</v>
      </c>
      <c r="J57" s="10">
        <v>118127</v>
      </c>
      <c r="K57" s="10">
        <v>60717.18</v>
      </c>
      <c r="L57" s="10">
        <v>57624</v>
      </c>
    </row>
    <row r="58" spans="2:12" ht="15.75" thickBot="1" x14ac:dyDescent="0.3">
      <c r="B58" s="43">
        <f t="shared" si="14"/>
        <v>51</v>
      </c>
      <c r="C58" s="32">
        <v>1</v>
      </c>
      <c r="D58" s="32"/>
      <c r="E58" s="32"/>
      <c r="F58" s="32"/>
      <c r="G58" s="3" t="s">
        <v>57</v>
      </c>
      <c r="H58" s="4">
        <f>H59</f>
        <v>2500</v>
      </c>
      <c r="I58" s="4">
        <f t="shared" ref="I58:L60" si="21">I59</f>
        <v>2370</v>
      </c>
      <c r="J58" s="4">
        <f t="shared" si="21"/>
        <v>2370</v>
      </c>
      <c r="K58" s="4">
        <f t="shared" si="21"/>
        <v>2374</v>
      </c>
      <c r="L58" s="4">
        <f t="shared" si="21"/>
        <v>2543</v>
      </c>
    </row>
    <row r="59" spans="2:12" x14ac:dyDescent="0.25">
      <c r="B59" s="43">
        <f t="shared" si="14"/>
        <v>52</v>
      </c>
      <c r="C59" s="33">
        <v>220</v>
      </c>
      <c r="D59" s="33"/>
      <c r="E59" s="33"/>
      <c r="F59" s="33"/>
      <c r="G59" s="5" t="s">
        <v>35</v>
      </c>
      <c r="H59" s="6">
        <f>H60</f>
        <v>2500</v>
      </c>
      <c r="I59" s="6">
        <f t="shared" si="21"/>
        <v>2370</v>
      </c>
      <c r="J59" s="6">
        <f t="shared" si="21"/>
        <v>2370</v>
      </c>
      <c r="K59" s="6">
        <f t="shared" si="21"/>
        <v>2374</v>
      </c>
      <c r="L59" s="6">
        <f t="shared" si="21"/>
        <v>2543</v>
      </c>
    </row>
    <row r="60" spans="2:12" x14ac:dyDescent="0.25">
      <c r="B60" s="43">
        <f t="shared" si="14"/>
        <v>53</v>
      </c>
      <c r="C60" s="34"/>
      <c r="D60" s="34">
        <v>223</v>
      </c>
      <c r="E60" s="34"/>
      <c r="F60" s="34"/>
      <c r="G60" s="7" t="s">
        <v>41</v>
      </c>
      <c r="H60" s="8">
        <f>H61</f>
        <v>2500</v>
      </c>
      <c r="I60" s="8">
        <f t="shared" si="21"/>
        <v>2370</v>
      </c>
      <c r="J60" s="8">
        <f t="shared" si="21"/>
        <v>2370</v>
      </c>
      <c r="K60" s="8">
        <f t="shared" si="21"/>
        <v>2374</v>
      </c>
      <c r="L60" s="8">
        <f t="shared" si="21"/>
        <v>2543</v>
      </c>
    </row>
    <row r="61" spans="2:12" ht="15.75" thickBot="1" x14ac:dyDescent="0.3">
      <c r="B61" s="43">
        <f t="shared" si="14"/>
        <v>54</v>
      </c>
      <c r="C61" s="35"/>
      <c r="D61" s="35"/>
      <c r="E61" s="35">
        <v>223002</v>
      </c>
      <c r="F61" s="35"/>
      <c r="G61" s="9" t="s">
        <v>58</v>
      </c>
      <c r="H61" s="10">
        <v>2500</v>
      </c>
      <c r="I61" s="10">
        <v>2370</v>
      </c>
      <c r="J61" s="10">
        <v>2370</v>
      </c>
      <c r="K61" s="10">
        <v>2374</v>
      </c>
      <c r="L61" s="10">
        <v>2543</v>
      </c>
    </row>
    <row r="62" spans="2:12" ht="15.75" thickBot="1" x14ac:dyDescent="0.3">
      <c r="B62" s="43">
        <f t="shared" si="14"/>
        <v>55</v>
      </c>
      <c r="C62" s="32">
        <v>2</v>
      </c>
      <c r="D62" s="32"/>
      <c r="E62" s="32"/>
      <c r="F62" s="32"/>
      <c r="G62" s="3" t="s">
        <v>59</v>
      </c>
      <c r="H62" s="4">
        <f>H63+H75+H79+H83+H90+H94+H101+H105+H112+H116+H126+H130+H134+H141+H149+H159+H163+H170+H178</f>
        <v>973600</v>
      </c>
      <c r="I62" s="4">
        <f t="shared" ref="I62:L62" si="22">I63+I75+I79+I83+I90+I94+I101+I105+I112+I116+I126+I130+I134+I141+I149+I159+I163+I170+I178</f>
        <v>564040</v>
      </c>
      <c r="J62" s="4">
        <f t="shared" si="22"/>
        <v>564040</v>
      </c>
      <c r="K62" s="4">
        <f t="shared" si="22"/>
        <v>530145</v>
      </c>
      <c r="L62" s="4">
        <f t="shared" si="22"/>
        <v>480757</v>
      </c>
    </row>
    <row r="63" spans="2:12" x14ac:dyDescent="0.25">
      <c r="B63" s="43">
        <f t="shared" si="14"/>
        <v>56</v>
      </c>
      <c r="C63" s="33" t="s">
        <v>60</v>
      </c>
      <c r="D63" s="33"/>
      <c r="E63" s="33"/>
      <c r="F63" s="33"/>
      <c r="G63" s="5"/>
      <c r="H63" s="6">
        <f>H64+H67+H70</f>
        <v>0</v>
      </c>
      <c r="I63" s="6">
        <f t="shared" ref="I63:L63" si="23">I64+I67+I70</f>
        <v>0</v>
      </c>
      <c r="J63" s="6">
        <f t="shared" si="23"/>
        <v>0</v>
      </c>
      <c r="K63" s="6">
        <f t="shared" si="23"/>
        <v>13585</v>
      </c>
      <c r="L63" s="6">
        <f t="shared" si="23"/>
        <v>23472</v>
      </c>
    </row>
    <row r="64" spans="2:12" x14ac:dyDescent="0.25">
      <c r="B64" s="43">
        <f t="shared" si="14"/>
        <v>57</v>
      </c>
      <c r="C64" s="34">
        <v>220</v>
      </c>
      <c r="D64" s="34"/>
      <c r="E64" s="34"/>
      <c r="F64" s="34"/>
      <c r="G64" s="7" t="s">
        <v>35</v>
      </c>
      <c r="H64" s="8">
        <f>H65</f>
        <v>0</v>
      </c>
      <c r="I64" s="8">
        <f t="shared" ref="I64:L64" si="24">I65</f>
        <v>0</v>
      </c>
      <c r="J64" s="8">
        <f t="shared" si="24"/>
        <v>0</v>
      </c>
      <c r="K64" s="8">
        <f t="shared" si="24"/>
        <v>0</v>
      </c>
      <c r="L64" s="8">
        <f t="shared" si="24"/>
        <v>2329</v>
      </c>
    </row>
    <row r="65" spans="2:12" x14ac:dyDescent="0.25">
      <c r="B65" s="43">
        <f t="shared" si="14"/>
        <v>58</v>
      </c>
      <c r="C65" s="35"/>
      <c r="D65" s="35">
        <v>222</v>
      </c>
      <c r="E65" s="35"/>
      <c r="F65" s="35"/>
      <c r="G65" s="9" t="s">
        <v>39</v>
      </c>
      <c r="H65" s="10">
        <f>H66</f>
        <v>0</v>
      </c>
      <c r="I65" s="10">
        <f t="shared" ref="I65:L65" si="25">I66</f>
        <v>0</v>
      </c>
      <c r="J65" s="10">
        <f t="shared" si="25"/>
        <v>0</v>
      </c>
      <c r="K65" s="10">
        <f t="shared" si="25"/>
        <v>0</v>
      </c>
      <c r="L65" s="10">
        <f t="shared" si="25"/>
        <v>2329</v>
      </c>
    </row>
    <row r="66" spans="2:12" x14ac:dyDescent="0.25">
      <c r="B66" s="43">
        <f t="shared" si="14"/>
        <v>59</v>
      </c>
      <c r="C66" s="36"/>
      <c r="D66" s="36"/>
      <c r="E66" s="36">
        <v>222003</v>
      </c>
      <c r="F66" s="36"/>
      <c r="G66" s="12" t="s">
        <v>40</v>
      </c>
      <c r="H66" s="13">
        <v>0</v>
      </c>
      <c r="I66" s="13">
        <v>0</v>
      </c>
      <c r="J66" s="13"/>
      <c r="K66" s="13">
        <v>0</v>
      </c>
      <c r="L66" s="13">
        <v>2329</v>
      </c>
    </row>
    <row r="67" spans="2:12" x14ac:dyDescent="0.25">
      <c r="B67" s="43">
        <f t="shared" si="14"/>
        <v>60</v>
      </c>
      <c r="C67" s="34">
        <v>240</v>
      </c>
      <c r="D67" s="34"/>
      <c r="E67" s="34"/>
      <c r="F67" s="34"/>
      <c r="G67" s="7" t="s">
        <v>46</v>
      </c>
      <c r="H67" s="8">
        <f>H68+H69</f>
        <v>0</v>
      </c>
      <c r="I67" s="8">
        <f t="shared" ref="I67:L68" si="26">I68</f>
        <v>0</v>
      </c>
      <c r="J67" s="8">
        <f t="shared" si="26"/>
        <v>0</v>
      </c>
      <c r="K67" s="8">
        <f t="shared" si="26"/>
        <v>0</v>
      </c>
      <c r="L67" s="8">
        <f t="shared" si="26"/>
        <v>12</v>
      </c>
    </row>
    <row r="68" spans="2:12" x14ac:dyDescent="0.25">
      <c r="B68" s="43">
        <f t="shared" si="14"/>
        <v>61</v>
      </c>
      <c r="C68" s="35"/>
      <c r="D68" s="35">
        <v>242</v>
      </c>
      <c r="E68" s="35"/>
      <c r="F68" s="35"/>
      <c r="G68" s="9" t="s">
        <v>47</v>
      </c>
      <c r="H68" s="10">
        <v>0</v>
      </c>
      <c r="I68" s="10">
        <f t="shared" si="26"/>
        <v>0</v>
      </c>
      <c r="J68" s="10">
        <f t="shared" si="26"/>
        <v>0</v>
      </c>
      <c r="K68" s="10">
        <f t="shared" si="26"/>
        <v>0</v>
      </c>
      <c r="L68" s="10">
        <f t="shared" si="26"/>
        <v>12</v>
      </c>
    </row>
    <row r="69" spans="2:12" x14ac:dyDescent="0.25">
      <c r="B69" s="43">
        <f t="shared" si="14"/>
        <v>62</v>
      </c>
      <c r="C69" s="36"/>
      <c r="D69" s="36"/>
      <c r="E69" s="36">
        <v>242</v>
      </c>
      <c r="F69" s="36"/>
      <c r="G69" s="12" t="s">
        <v>47</v>
      </c>
      <c r="H69" s="13">
        <v>0</v>
      </c>
      <c r="I69" s="13">
        <v>0</v>
      </c>
      <c r="J69" s="13"/>
      <c r="K69" s="13"/>
      <c r="L69" s="13">
        <v>12</v>
      </c>
    </row>
    <row r="70" spans="2:12" x14ac:dyDescent="0.25">
      <c r="B70" s="43">
        <f t="shared" si="14"/>
        <v>63</v>
      </c>
      <c r="C70" s="34">
        <v>290</v>
      </c>
      <c r="D70" s="34"/>
      <c r="E70" s="34"/>
      <c r="F70" s="34"/>
      <c r="G70" s="7" t="s">
        <v>49</v>
      </c>
      <c r="H70" s="8">
        <f>H71</f>
        <v>0</v>
      </c>
      <c r="I70" s="8">
        <f t="shared" ref="I70:L70" si="27">I71</f>
        <v>0</v>
      </c>
      <c r="J70" s="8">
        <f t="shared" si="27"/>
        <v>0</v>
      </c>
      <c r="K70" s="8">
        <f t="shared" si="27"/>
        <v>13585</v>
      </c>
      <c r="L70" s="8">
        <f t="shared" si="27"/>
        <v>21131</v>
      </c>
    </row>
    <row r="71" spans="2:12" x14ac:dyDescent="0.25">
      <c r="B71" s="43">
        <f t="shared" si="14"/>
        <v>64</v>
      </c>
      <c r="C71" s="35"/>
      <c r="D71" s="35">
        <v>292</v>
      </c>
      <c r="E71" s="35"/>
      <c r="F71" s="35"/>
      <c r="G71" s="9" t="s">
        <v>50</v>
      </c>
      <c r="H71" s="10">
        <f>SUM(H72:H74)</f>
        <v>0</v>
      </c>
      <c r="I71" s="10">
        <f>SUM(I72:I74)</f>
        <v>0</v>
      </c>
      <c r="J71" s="10">
        <f t="shared" ref="J71:L71" si="28">SUM(J72:J74)</f>
        <v>0</v>
      </c>
      <c r="K71" s="10">
        <f t="shared" si="28"/>
        <v>13585</v>
      </c>
      <c r="L71" s="10">
        <f t="shared" si="28"/>
        <v>21131</v>
      </c>
    </row>
    <row r="72" spans="2:12" x14ac:dyDescent="0.25">
      <c r="B72" s="43">
        <f t="shared" si="14"/>
        <v>65</v>
      </c>
      <c r="C72" s="36"/>
      <c r="D72" s="36"/>
      <c r="E72" s="36">
        <v>292012</v>
      </c>
      <c r="F72" s="36"/>
      <c r="G72" s="12" t="s">
        <v>53</v>
      </c>
      <c r="H72" s="13">
        <v>0</v>
      </c>
      <c r="I72" s="13">
        <v>0</v>
      </c>
      <c r="J72" s="13"/>
      <c r="K72" s="13">
        <v>1378</v>
      </c>
      <c r="L72" s="13">
        <v>4712</v>
      </c>
    </row>
    <row r="73" spans="2:12" x14ac:dyDescent="0.25">
      <c r="B73" s="43">
        <f t="shared" si="14"/>
        <v>66</v>
      </c>
      <c r="C73" s="36"/>
      <c r="D73" s="36"/>
      <c r="E73" s="36">
        <v>292017</v>
      </c>
      <c r="F73" s="36"/>
      <c r="G73" s="12" t="s">
        <v>54</v>
      </c>
      <c r="H73" s="13">
        <v>0</v>
      </c>
      <c r="I73" s="13">
        <v>0</v>
      </c>
      <c r="J73" s="13"/>
      <c r="K73" s="13">
        <v>11194</v>
      </c>
      <c r="L73" s="13">
        <v>11010</v>
      </c>
    </row>
    <row r="74" spans="2:12" x14ac:dyDescent="0.25">
      <c r="B74" s="43">
        <f t="shared" si="14"/>
        <v>67</v>
      </c>
      <c r="C74" s="36"/>
      <c r="D74" s="36"/>
      <c r="E74" s="36">
        <v>292027</v>
      </c>
      <c r="F74" s="36"/>
      <c r="G74" s="12" t="s">
        <v>56</v>
      </c>
      <c r="H74" s="13">
        <v>0</v>
      </c>
      <c r="I74" s="13">
        <v>0</v>
      </c>
      <c r="J74" s="13"/>
      <c r="K74" s="13">
        <v>1013</v>
      </c>
      <c r="L74" s="13">
        <v>5409</v>
      </c>
    </row>
    <row r="75" spans="2:12" x14ac:dyDescent="0.25">
      <c r="B75" s="43">
        <f t="shared" si="14"/>
        <v>68</v>
      </c>
      <c r="C75" s="33" t="s">
        <v>61</v>
      </c>
      <c r="D75" s="33"/>
      <c r="E75" s="33"/>
      <c r="F75" s="33"/>
      <c r="G75" s="5" t="s">
        <v>62</v>
      </c>
      <c r="H75" s="6">
        <f>H76</f>
        <v>2000</v>
      </c>
      <c r="I75" s="6">
        <f t="shared" ref="I75:L77" si="29">I76</f>
        <v>3000</v>
      </c>
      <c r="J75" s="6">
        <f t="shared" si="29"/>
        <v>3000</v>
      </c>
      <c r="K75" s="6">
        <f t="shared" si="29"/>
        <v>1195</v>
      </c>
      <c r="L75" s="6">
        <f t="shared" si="29"/>
        <v>1814</v>
      </c>
    </row>
    <row r="76" spans="2:12" x14ac:dyDescent="0.25">
      <c r="B76" s="43">
        <f t="shared" si="14"/>
        <v>69</v>
      </c>
      <c r="C76" s="34">
        <v>220</v>
      </c>
      <c r="D76" s="34"/>
      <c r="E76" s="34"/>
      <c r="F76" s="34"/>
      <c r="G76" s="7" t="s">
        <v>35</v>
      </c>
      <c r="H76" s="8">
        <f>H77</f>
        <v>2000</v>
      </c>
      <c r="I76" s="8">
        <f t="shared" si="29"/>
        <v>3000</v>
      </c>
      <c r="J76" s="8">
        <f t="shared" si="29"/>
        <v>3000</v>
      </c>
      <c r="K76" s="8">
        <f t="shared" si="29"/>
        <v>1195</v>
      </c>
      <c r="L76" s="8">
        <f t="shared" si="29"/>
        <v>1814</v>
      </c>
    </row>
    <row r="77" spans="2:12" x14ac:dyDescent="0.25">
      <c r="B77" s="43">
        <f t="shared" si="14"/>
        <v>70</v>
      </c>
      <c r="C77" s="35"/>
      <c r="D77" s="35">
        <v>223</v>
      </c>
      <c r="E77" s="35"/>
      <c r="F77" s="35"/>
      <c r="G77" s="30" t="s">
        <v>41</v>
      </c>
      <c r="H77" s="10">
        <f>H78</f>
        <v>2000</v>
      </c>
      <c r="I77" s="10">
        <f t="shared" si="29"/>
        <v>3000</v>
      </c>
      <c r="J77" s="10">
        <f t="shared" si="29"/>
        <v>3000</v>
      </c>
      <c r="K77" s="10">
        <f t="shared" si="29"/>
        <v>1195</v>
      </c>
      <c r="L77" s="10">
        <f t="shared" si="29"/>
        <v>1814</v>
      </c>
    </row>
    <row r="78" spans="2:12" x14ac:dyDescent="0.25">
      <c r="B78" s="43">
        <f t="shared" si="14"/>
        <v>71</v>
      </c>
      <c r="C78" s="36"/>
      <c r="D78" s="36"/>
      <c r="E78" s="36">
        <v>223001</v>
      </c>
      <c r="F78" s="36"/>
      <c r="G78" s="12" t="s">
        <v>42</v>
      </c>
      <c r="H78" s="13">
        <v>2000</v>
      </c>
      <c r="I78" s="14">
        <v>3000</v>
      </c>
      <c r="J78" s="13">
        <v>3000</v>
      </c>
      <c r="K78" s="13">
        <v>1195</v>
      </c>
      <c r="L78" s="13">
        <v>1814</v>
      </c>
    </row>
    <row r="79" spans="2:12" x14ac:dyDescent="0.25">
      <c r="B79" s="43">
        <f t="shared" si="14"/>
        <v>72</v>
      </c>
      <c r="C79" s="33" t="s">
        <v>63</v>
      </c>
      <c r="D79" s="33"/>
      <c r="E79" s="33"/>
      <c r="F79" s="33"/>
      <c r="G79" s="5" t="s">
        <v>64</v>
      </c>
      <c r="H79" s="6">
        <f>H80</f>
        <v>0</v>
      </c>
      <c r="I79" s="6">
        <f t="shared" ref="I79:L81" si="30">I80</f>
        <v>0</v>
      </c>
      <c r="J79" s="6">
        <f t="shared" si="30"/>
        <v>0</v>
      </c>
      <c r="K79" s="6">
        <f t="shared" si="30"/>
        <v>421</v>
      </c>
      <c r="L79" s="6">
        <f t="shared" si="30"/>
        <v>0</v>
      </c>
    </row>
    <row r="80" spans="2:12" x14ac:dyDescent="0.25">
      <c r="B80" s="43">
        <f t="shared" si="14"/>
        <v>73</v>
      </c>
      <c r="C80" s="34">
        <v>290</v>
      </c>
      <c r="D80" s="34"/>
      <c r="E80" s="34"/>
      <c r="F80" s="34"/>
      <c r="G80" s="7" t="s">
        <v>49</v>
      </c>
      <c r="H80" s="8">
        <f>H81</f>
        <v>0</v>
      </c>
      <c r="I80" s="8">
        <f t="shared" si="30"/>
        <v>0</v>
      </c>
      <c r="J80" s="8">
        <f t="shared" si="30"/>
        <v>0</v>
      </c>
      <c r="K80" s="8">
        <f t="shared" si="30"/>
        <v>421</v>
      </c>
      <c r="L80" s="8">
        <f t="shared" si="30"/>
        <v>0</v>
      </c>
    </row>
    <row r="81" spans="2:12" x14ac:dyDescent="0.25">
      <c r="B81" s="43">
        <f t="shared" si="14"/>
        <v>74</v>
      </c>
      <c r="C81" s="35"/>
      <c r="D81" s="35">
        <v>292</v>
      </c>
      <c r="E81" s="35"/>
      <c r="F81" s="35"/>
      <c r="G81" s="9" t="s">
        <v>50</v>
      </c>
      <c r="H81" s="10">
        <f>H82</f>
        <v>0</v>
      </c>
      <c r="I81" s="10">
        <f t="shared" si="30"/>
        <v>0</v>
      </c>
      <c r="J81" s="10">
        <f t="shared" si="30"/>
        <v>0</v>
      </c>
      <c r="K81" s="10">
        <f t="shared" si="30"/>
        <v>421</v>
      </c>
      <c r="L81" s="10">
        <f t="shared" si="30"/>
        <v>0</v>
      </c>
    </row>
    <row r="82" spans="2:12" x14ac:dyDescent="0.25">
      <c r="B82" s="43">
        <f t="shared" si="14"/>
        <v>75</v>
      </c>
      <c r="C82" s="36"/>
      <c r="D82" s="36"/>
      <c r="E82" s="36">
        <v>292012</v>
      </c>
      <c r="F82" s="36"/>
      <c r="G82" s="12" t="s">
        <v>53</v>
      </c>
      <c r="H82" s="13">
        <v>0</v>
      </c>
      <c r="I82" s="13">
        <v>0</v>
      </c>
      <c r="J82" s="13"/>
      <c r="K82" s="13">
        <v>421</v>
      </c>
      <c r="L82" s="13">
        <v>0</v>
      </c>
    </row>
    <row r="83" spans="2:12" x14ac:dyDescent="0.25">
      <c r="B83" s="43">
        <f t="shared" si="14"/>
        <v>76</v>
      </c>
      <c r="C83" s="33" t="s">
        <v>66</v>
      </c>
      <c r="D83" s="33"/>
      <c r="E83" s="33"/>
      <c r="F83" s="33"/>
      <c r="G83" s="5" t="s">
        <v>65</v>
      </c>
      <c r="H83" s="6">
        <f>H84+H87</f>
        <v>1000</v>
      </c>
      <c r="I83" s="6">
        <f t="shared" ref="I83:L83" si="31">I84+I87</f>
        <v>500</v>
      </c>
      <c r="J83" s="6">
        <f t="shared" si="31"/>
        <v>500</v>
      </c>
      <c r="K83" s="6">
        <f t="shared" si="31"/>
        <v>2143</v>
      </c>
      <c r="L83" s="6">
        <f t="shared" si="31"/>
        <v>189</v>
      </c>
    </row>
    <row r="84" spans="2:12" x14ac:dyDescent="0.25">
      <c r="B84" s="43">
        <f t="shared" si="14"/>
        <v>77</v>
      </c>
      <c r="C84" s="34">
        <v>220</v>
      </c>
      <c r="D84" s="34"/>
      <c r="E84" s="34"/>
      <c r="F84" s="34"/>
      <c r="G84" s="7" t="s">
        <v>35</v>
      </c>
      <c r="H84" s="8">
        <f>H85</f>
        <v>1000</v>
      </c>
      <c r="I84" s="8">
        <f t="shared" ref="I84:L85" si="32">I85</f>
        <v>500</v>
      </c>
      <c r="J84" s="8">
        <f t="shared" si="32"/>
        <v>500</v>
      </c>
      <c r="K84" s="8">
        <f t="shared" si="32"/>
        <v>633</v>
      </c>
      <c r="L84" s="8">
        <f t="shared" si="32"/>
        <v>189</v>
      </c>
    </row>
    <row r="85" spans="2:12" x14ac:dyDescent="0.25">
      <c r="B85" s="43">
        <f t="shared" si="14"/>
        <v>78</v>
      </c>
      <c r="C85" s="35"/>
      <c r="D85" s="35">
        <v>223</v>
      </c>
      <c r="E85" s="35"/>
      <c r="F85" s="35"/>
      <c r="G85" s="30" t="s">
        <v>41</v>
      </c>
      <c r="H85" s="10">
        <f>H86</f>
        <v>1000</v>
      </c>
      <c r="I85" s="10">
        <f t="shared" si="32"/>
        <v>500</v>
      </c>
      <c r="J85" s="10">
        <f t="shared" si="32"/>
        <v>500</v>
      </c>
      <c r="K85" s="10">
        <f t="shared" si="32"/>
        <v>633</v>
      </c>
      <c r="L85" s="10">
        <f t="shared" si="32"/>
        <v>189</v>
      </c>
    </row>
    <row r="86" spans="2:12" x14ac:dyDescent="0.25">
      <c r="B86" s="43">
        <f t="shared" si="14"/>
        <v>79</v>
      </c>
      <c r="C86" s="36"/>
      <c r="D86" s="36"/>
      <c r="E86" s="36">
        <v>223001</v>
      </c>
      <c r="F86" s="36"/>
      <c r="G86" s="12" t="s">
        <v>42</v>
      </c>
      <c r="H86" s="13">
        <v>1000</v>
      </c>
      <c r="I86" s="14">
        <v>500</v>
      </c>
      <c r="J86" s="13">
        <v>500</v>
      </c>
      <c r="K86" s="13">
        <v>633</v>
      </c>
      <c r="L86" s="13">
        <v>189</v>
      </c>
    </row>
    <row r="87" spans="2:12" x14ac:dyDescent="0.25">
      <c r="B87" s="43">
        <f t="shared" si="14"/>
        <v>80</v>
      </c>
      <c r="C87" s="34">
        <v>290</v>
      </c>
      <c r="D87" s="34"/>
      <c r="E87" s="34"/>
      <c r="F87" s="34"/>
      <c r="G87" s="7" t="s">
        <v>49</v>
      </c>
      <c r="H87" s="8">
        <f t="shared" ref="H87:L88" si="33">H88</f>
        <v>0</v>
      </c>
      <c r="I87" s="8">
        <f t="shared" si="33"/>
        <v>0</v>
      </c>
      <c r="J87" s="8">
        <f t="shared" si="33"/>
        <v>0</v>
      </c>
      <c r="K87" s="8">
        <f t="shared" si="33"/>
        <v>1510</v>
      </c>
      <c r="L87" s="8">
        <f t="shared" si="33"/>
        <v>0</v>
      </c>
    </row>
    <row r="88" spans="2:12" x14ac:dyDescent="0.25">
      <c r="B88" s="43">
        <f t="shared" si="14"/>
        <v>81</v>
      </c>
      <c r="C88" s="35"/>
      <c r="D88" s="35">
        <v>292</v>
      </c>
      <c r="E88" s="35"/>
      <c r="F88" s="35"/>
      <c r="G88" s="9" t="s">
        <v>50</v>
      </c>
      <c r="H88" s="10">
        <f t="shared" si="33"/>
        <v>0</v>
      </c>
      <c r="I88" s="10">
        <f t="shared" si="33"/>
        <v>0</v>
      </c>
      <c r="J88" s="10">
        <f t="shared" si="33"/>
        <v>0</v>
      </c>
      <c r="K88" s="10">
        <f t="shared" si="33"/>
        <v>1510</v>
      </c>
      <c r="L88" s="10">
        <f t="shared" si="33"/>
        <v>0</v>
      </c>
    </row>
    <row r="89" spans="2:12" x14ac:dyDescent="0.25">
      <c r="B89" s="43">
        <f t="shared" si="14"/>
        <v>82</v>
      </c>
      <c r="C89" s="36"/>
      <c r="D89" s="36"/>
      <c r="E89" s="36">
        <v>292012</v>
      </c>
      <c r="F89" s="36"/>
      <c r="G89" s="12" t="s">
        <v>53</v>
      </c>
      <c r="H89" s="13">
        <v>0</v>
      </c>
      <c r="I89" s="13">
        <v>0</v>
      </c>
      <c r="J89" s="13"/>
      <c r="K89" s="13">
        <v>1510</v>
      </c>
      <c r="L89" s="13">
        <v>0</v>
      </c>
    </row>
    <row r="90" spans="2:12" x14ac:dyDescent="0.25">
      <c r="B90" s="43">
        <f t="shared" si="14"/>
        <v>83</v>
      </c>
      <c r="C90" s="33" t="s">
        <v>68</v>
      </c>
      <c r="D90" s="33"/>
      <c r="E90" s="33"/>
      <c r="F90" s="33"/>
      <c r="G90" s="5" t="s">
        <v>67</v>
      </c>
      <c r="H90" s="6">
        <f>H91</f>
        <v>8000</v>
      </c>
      <c r="I90" s="6">
        <f>I91</f>
        <v>8000</v>
      </c>
      <c r="J90" s="6">
        <f>J91</f>
        <v>8000</v>
      </c>
      <c r="K90" s="6">
        <f>K91</f>
        <v>9252</v>
      </c>
      <c r="L90" s="6">
        <f>L91</f>
        <v>9013</v>
      </c>
    </row>
    <row r="91" spans="2:12" x14ac:dyDescent="0.25">
      <c r="B91" s="43">
        <f t="shared" si="14"/>
        <v>84</v>
      </c>
      <c r="C91" s="34">
        <v>220</v>
      </c>
      <c r="D91" s="34"/>
      <c r="E91" s="34"/>
      <c r="F91" s="34"/>
      <c r="G91" s="7" t="s">
        <v>35</v>
      </c>
      <c r="H91" s="8">
        <f>H92</f>
        <v>8000</v>
      </c>
      <c r="I91" s="8">
        <f t="shared" ref="I91:L92" si="34">I92</f>
        <v>8000</v>
      </c>
      <c r="J91" s="8">
        <f t="shared" si="34"/>
        <v>8000</v>
      </c>
      <c r="K91" s="8">
        <f t="shared" si="34"/>
        <v>9252</v>
      </c>
      <c r="L91" s="8">
        <f t="shared" si="34"/>
        <v>9013</v>
      </c>
    </row>
    <row r="92" spans="2:12" x14ac:dyDescent="0.25">
      <c r="B92" s="43">
        <f t="shared" si="14"/>
        <v>85</v>
      </c>
      <c r="C92" s="35"/>
      <c r="D92" s="35">
        <v>223</v>
      </c>
      <c r="E92" s="35"/>
      <c r="F92" s="35"/>
      <c r="G92" s="9" t="s">
        <v>41</v>
      </c>
      <c r="H92" s="10">
        <f>H93</f>
        <v>8000</v>
      </c>
      <c r="I92" s="10">
        <f t="shared" si="34"/>
        <v>8000</v>
      </c>
      <c r="J92" s="10">
        <f t="shared" si="34"/>
        <v>8000</v>
      </c>
      <c r="K92" s="10">
        <f t="shared" si="34"/>
        <v>9252</v>
      </c>
      <c r="L92" s="10">
        <f t="shared" si="34"/>
        <v>9013</v>
      </c>
    </row>
    <row r="93" spans="2:12" x14ac:dyDescent="0.25">
      <c r="B93" s="43">
        <f t="shared" si="14"/>
        <v>86</v>
      </c>
      <c r="C93" s="36"/>
      <c r="D93" s="36"/>
      <c r="E93" s="36">
        <v>223001</v>
      </c>
      <c r="F93" s="36"/>
      <c r="G93" s="12" t="s">
        <v>42</v>
      </c>
      <c r="H93" s="13">
        <v>8000</v>
      </c>
      <c r="I93" s="14">
        <v>8000</v>
      </c>
      <c r="J93" s="13">
        <v>8000</v>
      </c>
      <c r="K93" s="13">
        <v>9252</v>
      </c>
      <c r="L93" s="13">
        <v>9013</v>
      </c>
    </row>
    <row r="94" spans="2:12" x14ac:dyDescent="0.25">
      <c r="B94" s="43">
        <f t="shared" si="14"/>
        <v>87</v>
      </c>
      <c r="C94" s="33" t="s">
        <v>69</v>
      </c>
      <c r="D94" s="33"/>
      <c r="E94" s="33"/>
      <c r="F94" s="33"/>
      <c r="G94" s="5" t="s">
        <v>70</v>
      </c>
      <c r="H94" s="6">
        <f>H95+H98</f>
        <v>1500</v>
      </c>
      <c r="I94" s="6">
        <f>I95+I98</f>
        <v>6450</v>
      </c>
      <c r="J94" s="6">
        <f>J95+J98</f>
        <v>6450</v>
      </c>
      <c r="K94" s="6">
        <f>K95+K98</f>
        <v>20955</v>
      </c>
      <c r="L94" s="6">
        <f>L95+L98</f>
        <v>1884</v>
      </c>
    </row>
    <row r="95" spans="2:12" x14ac:dyDescent="0.25">
      <c r="B95" s="43">
        <f t="shared" si="14"/>
        <v>88</v>
      </c>
      <c r="C95" s="34">
        <v>210</v>
      </c>
      <c r="D95" s="34"/>
      <c r="E95" s="34"/>
      <c r="F95" s="34"/>
      <c r="G95" s="7" t="s">
        <v>28</v>
      </c>
      <c r="H95" s="8">
        <f>H96</f>
        <v>0</v>
      </c>
      <c r="I95" s="8">
        <f t="shared" ref="I95:L96" si="35">I96</f>
        <v>5100</v>
      </c>
      <c r="J95" s="8">
        <f t="shared" si="35"/>
        <v>5100</v>
      </c>
      <c r="K95" s="8">
        <f t="shared" si="35"/>
        <v>20017</v>
      </c>
      <c r="L95" s="8">
        <f t="shared" si="35"/>
        <v>0</v>
      </c>
    </row>
    <row r="96" spans="2:12" x14ac:dyDescent="0.25">
      <c r="B96" s="43">
        <f t="shared" si="14"/>
        <v>89</v>
      </c>
      <c r="C96" s="35"/>
      <c r="D96" s="35">
        <v>212</v>
      </c>
      <c r="E96" s="35"/>
      <c r="F96" s="35"/>
      <c r="G96" s="9" t="s">
        <v>31</v>
      </c>
      <c r="H96" s="10">
        <f>H97</f>
        <v>0</v>
      </c>
      <c r="I96" s="10">
        <f t="shared" si="35"/>
        <v>5100</v>
      </c>
      <c r="J96" s="10">
        <f t="shared" si="35"/>
        <v>5100</v>
      </c>
      <c r="K96" s="10">
        <f t="shared" si="35"/>
        <v>20017</v>
      </c>
      <c r="L96" s="10">
        <f t="shared" si="35"/>
        <v>0</v>
      </c>
    </row>
    <row r="97" spans="2:12" x14ac:dyDescent="0.25">
      <c r="B97" s="43">
        <f t="shared" si="14"/>
        <v>90</v>
      </c>
      <c r="C97" s="36"/>
      <c r="D97" s="36"/>
      <c r="E97" s="36">
        <v>212003</v>
      </c>
      <c r="F97" s="36"/>
      <c r="G97" s="12" t="s">
        <v>33</v>
      </c>
      <c r="H97" s="13">
        <v>0</v>
      </c>
      <c r="I97" s="14">
        <v>5100</v>
      </c>
      <c r="J97" s="13">
        <v>5100</v>
      </c>
      <c r="K97" s="13">
        <v>20017</v>
      </c>
      <c r="L97" s="13">
        <v>0</v>
      </c>
    </row>
    <row r="98" spans="2:12" x14ac:dyDescent="0.25">
      <c r="B98" s="43">
        <f t="shared" si="14"/>
        <v>91</v>
      </c>
      <c r="C98" s="34">
        <v>220</v>
      </c>
      <c r="D98" s="34"/>
      <c r="E98" s="34"/>
      <c r="F98" s="34"/>
      <c r="G98" s="7" t="s">
        <v>35</v>
      </c>
      <c r="H98" s="8">
        <f t="shared" ref="H98:L99" si="36">H99</f>
        <v>1500</v>
      </c>
      <c r="I98" s="8">
        <f t="shared" si="36"/>
        <v>1350</v>
      </c>
      <c r="J98" s="8">
        <f t="shared" si="36"/>
        <v>1350</v>
      </c>
      <c r="K98" s="8">
        <f t="shared" si="36"/>
        <v>938</v>
      </c>
      <c r="L98" s="8">
        <f t="shared" si="36"/>
        <v>1884</v>
      </c>
    </row>
    <row r="99" spans="2:12" x14ac:dyDescent="0.25">
      <c r="B99" s="43">
        <f t="shared" si="14"/>
        <v>92</v>
      </c>
      <c r="C99" s="35"/>
      <c r="D99" s="35">
        <v>223</v>
      </c>
      <c r="E99" s="35"/>
      <c r="F99" s="35"/>
      <c r="G99" s="9" t="s">
        <v>41</v>
      </c>
      <c r="H99" s="10">
        <f t="shared" si="36"/>
        <v>1500</v>
      </c>
      <c r="I99" s="10">
        <f t="shared" si="36"/>
        <v>1350</v>
      </c>
      <c r="J99" s="10">
        <f t="shared" si="36"/>
        <v>1350</v>
      </c>
      <c r="K99" s="10">
        <f t="shared" si="36"/>
        <v>938</v>
      </c>
      <c r="L99" s="10">
        <f t="shared" si="36"/>
        <v>1884</v>
      </c>
    </row>
    <row r="100" spans="2:12" x14ac:dyDescent="0.25">
      <c r="B100" s="43">
        <f t="shared" si="14"/>
        <v>93</v>
      </c>
      <c r="C100" s="36"/>
      <c r="D100" s="36"/>
      <c r="E100" s="36">
        <v>223001</v>
      </c>
      <c r="F100" s="36"/>
      <c r="G100" s="12" t="s">
        <v>42</v>
      </c>
      <c r="H100" s="13">
        <v>1500</v>
      </c>
      <c r="I100" s="14">
        <v>1350</v>
      </c>
      <c r="J100" s="13">
        <v>1350</v>
      </c>
      <c r="K100" s="13">
        <v>938</v>
      </c>
      <c r="L100" s="13">
        <v>1884</v>
      </c>
    </row>
    <row r="101" spans="2:12" x14ac:dyDescent="0.25">
      <c r="B101" s="43">
        <f t="shared" si="14"/>
        <v>94</v>
      </c>
      <c r="C101" s="33" t="s">
        <v>71</v>
      </c>
      <c r="D101" s="33"/>
      <c r="E101" s="33"/>
      <c r="F101" s="33"/>
      <c r="G101" s="5" t="s">
        <v>72</v>
      </c>
      <c r="H101" s="6">
        <f>H102</f>
        <v>0</v>
      </c>
      <c r="I101" s="6">
        <f t="shared" ref="I101:L103" si="37">I102</f>
        <v>0</v>
      </c>
      <c r="J101" s="6">
        <f t="shared" si="37"/>
        <v>0</v>
      </c>
      <c r="K101" s="6">
        <f t="shared" si="37"/>
        <v>6</v>
      </c>
      <c r="L101" s="6">
        <f t="shared" si="37"/>
        <v>0</v>
      </c>
    </row>
    <row r="102" spans="2:12" x14ac:dyDescent="0.25">
      <c r="B102" s="43">
        <f t="shared" si="14"/>
        <v>95</v>
      </c>
      <c r="C102" s="34">
        <v>290</v>
      </c>
      <c r="D102" s="34"/>
      <c r="E102" s="34"/>
      <c r="F102" s="34"/>
      <c r="G102" s="7" t="s">
        <v>49</v>
      </c>
      <c r="H102" s="8">
        <f>H103</f>
        <v>0</v>
      </c>
      <c r="I102" s="8">
        <f t="shared" si="37"/>
        <v>0</v>
      </c>
      <c r="J102" s="8">
        <f t="shared" si="37"/>
        <v>0</v>
      </c>
      <c r="K102" s="8">
        <f t="shared" si="37"/>
        <v>6</v>
      </c>
      <c r="L102" s="8">
        <f t="shared" si="37"/>
        <v>0</v>
      </c>
    </row>
    <row r="103" spans="2:12" x14ac:dyDescent="0.25">
      <c r="B103" s="43">
        <f t="shared" ref="B103:B150" si="38">B102+1</f>
        <v>96</v>
      </c>
      <c r="C103" s="35"/>
      <c r="D103" s="35">
        <v>292</v>
      </c>
      <c r="E103" s="35"/>
      <c r="F103" s="35"/>
      <c r="G103" s="9" t="s">
        <v>50</v>
      </c>
      <c r="H103" s="10">
        <f>H104</f>
        <v>0</v>
      </c>
      <c r="I103" s="10">
        <f t="shared" si="37"/>
        <v>0</v>
      </c>
      <c r="J103" s="10">
        <f t="shared" si="37"/>
        <v>0</v>
      </c>
      <c r="K103" s="10">
        <f t="shared" si="37"/>
        <v>6</v>
      </c>
      <c r="L103" s="10">
        <f t="shared" si="37"/>
        <v>0</v>
      </c>
    </row>
    <row r="104" spans="2:12" x14ac:dyDescent="0.25">
      <c r="B104" s="43">
        <f t="shared" si="38"/>
        <v>97</v>
      </c>
      <c r="C104" s="36"/>
      <c r="D104" s="36"/>
      <c r="E104" s="36">
        <v>292012</v>
      </c>
      <c r="F104" s="36"/>
      <c r="G104" s="12" t="s">
        <v>53</v>
      </c>
      <c r="H104" s="13">
        <v>0</v>
      </c>
      <c r="I104" s="13">
        <v>0</v>
      </c>
      <c r="J104" s="13"/>
      <c r="K104" s="13">
        <v>6</v>
      </c>
      <c r="L104" s="13">
        <v>0</v>
      </c>
    </row>
    <row r="105" spans="2:12" x14ac:dyDescent="0.25">
      <c r="B105" s="43">
        <f t="shared" si="38"/>
        <v>98</v>
      </c>
      <c r="C105" s="33" t="s">
        <v>74</v>
      </c>
      <c r="D105" s="33"/>
      <c r="E105" s="33"/>
      <c r="F105" s="33"/>
      <c r="G105" s="5" t="s">
        <v>73</v>
      </c>
      <c r="H105" s="6">
        <f>H106+H109</f>
        <v>1000</v>
      </c>
      <c r="I105" s="6">
        <f t="shared" ref="I105:L105" si="39">I106+I109</f>
        <v>1000</v>
      </c>
      <c r="J105" s="6">
        <f t="shared" si="39"/>
        <v>1000</v>
      </c>
      <c r="K105" s="6">
        <f t="shared" si="39"/>
        <v>5915</v>
      </c>
      <c r="L105" s="6">
        <f t="shared" si="39"/>
        <v>736</v>
      </c>
    </row>
    <row r="106" spans="2:12" x14ac:dyDescent="0.25">
      <c r="B106" s="43">
        <f t="shared" si="38"/>
        <v>99</v>
      </c>
      <c r="C106" s="34">
        <v>220</v>
      </c>
      <c r="D106" s="34"/>
      <c r="E106" s="34"/>
      <c r="F106" s="34"/>
      <c r="G106" s="7" t="s">
        <v>35</v>
      </c>
      <c r="H106" s="8">
        <f>H107</f>
        <v>1000</v>
      </c>
      <c r="I106" s="8">
        <f t="shared" ref="I106:L107" si="40">I107</f>
        <v>1000</v>
      </c>
      <c r="J106" s="8">
        <f t="shared" si="40"/>
        <v>1000</v>
      </c>
      <c r="K106" s="8">
        <f t="shared" si="40"/>
        <v>976</v>
      </c>
      <c r="L106" s="8">
        <f t="shared" si="40"/>
        <v>736</v>
      </c>
    </row>
    <row r="107" spans="2:12" x14ac:dyDescent="0.25">
      <c r="B107" s="43">
        <f t="shared" si="38"/>
        <v>100</v>
      </c>
      <c r="C107" s="35"/>
      <c r="D107" s="35">
        <v>223</v>
      </c>
      <c r="E107" s="35"/>
      <c r="F107" s="35"/>
      <c r="G107" s="9" t="s">
        <v>41</v>
      </c>
      <c r="H107" s="10">
        <f>H108</f>
        <v>1000</v>
      </c>
      <c r="I107" s="10">
        <f t="shared" si="40"/>
        <v>1000</v>
      </c>
      <c r="J107" s="10">
        <f t="shared" si="40"/>
        <v>1000</v>
      </c>
      <c r="K107" s="10">
        <f t="shared" si="40"/>
        <v>976</v>
      </c>
      <c r="L107" s="10">
        <f t="shared" si="40"/>
        <v>736</v>
      </c>
    </row>
    <row r="108" spans="2:12" x14ac:dyDescent="0.25">
      <c r="B108" s="43">
        <f t="shared" si="38"/>
        <v>101</v>
      </c>
      <c r="C108" s="36"/>
      <c r="D108" s="36"/>
      <c r="E108" s="36">
        <v>223001</v>
      </c>
      <c r="F108" s="36"/>
      <c r="G108" s="12" t="s">
        <v>42</v>
      </c>
      <c r="H108" s="13">
        <v>1000</v>
      </c>
      <c r="I108" s="14">
        <v>1000</v>
      </c>
      <c r="J108" s="13">
        <v>1000</v>
      </c>
      <c r="K108" s="13">
        <v>976</v>
      </c>
      <c r="L108" s="13">
        <v>736</v>
      </c>
    </row>
    <row r="109" spans="2:12" x14ac:dyDescent="0.25">
      <c r="B109" s="43">
        <f t="shared" si="38"/>
        <v>102</v>
      </c>
      <c r="C109" s="34">
        <v>290</v>
      </c>
      <c r="D109" s="34"/>
      <c r="E109" s="34"/>
      <c r="F109" s="34"/>
      <c r="G109" s="7" t="s">
        <v>49</v>
      </c>
      <c r="H109" s="8">
        <f t="shared" ref="H109:L110" si="41">H110</f>
        <v>0</v>
      </c>
      <c r="I109" s="8">
        <f t="shared" si="41"/>
        <v>0</v>
      </c>
      <c r="J109" s="8">
        <f t="shared" si="41"/>
        <v>0</v>
      </c>
      <c r="K109" s="8">
        <f t="shared" si="41"/>
        <v>4939</v>
      </c>
      <c r="L109" s="8">
        <f t="shared" si="41"/>
        <v>0</v>
      </c>
    </row>
    <row r="110" spans="2:12" x14ac:dyDescent="0.25">
      <c r="B110" s="43">
        <f t="shared" si="38"/>
        <v>103</v>
      </c>
      <c r="C110" s="35"/>
      <c r="D110" s="35">
        <v>292</v>
      </c>
      <c r="E110" s="35"/>
      <c r="F110" s="35"/>
      <c r="G110" s="9" t="s">
        <v>50</v>
      </c>
      <c r="H110" s="10">
        <f t="shared" si="41"/>
        <v>0</v>
      </c>
      <c r="I110" s="10">
        <f t="shared" si="41"/>
        <v>0</v>
      </c>
      <c r="J110" s="10">
        <f t="shared" si="41"/>
        <v>0</v>
      </c>
      <c r="K110" s="10">
        <f t="shared" si="41"/>
        <v>4939</v>
      </c>
      <c r="L110" s="10">
        <f t="shared" si="41"/>
        <v>0</v>
      </c>
    </row>
    <row r="111" spans="2:12" x14ac:dyDescent="0.25">
      <c r="B111" s="43">
        <f t="shared" si="38"/>
        <v>104</v>
      </c>
      <c r="C111" s="36"/>
      <c r="D111" s="36"/>
      <c r="E111" s="36">
        <v>292012</v>
      </c>
      <c r="F111" s="36"/>
      <c r="G111" s="12" t="s">
        <v>53</v>
      </c>
      <c r="H111" s="13">
        <v>0</v>
      </c>
      <c r="I111" s="13">
        <v>0</v>
      </c>
      <c r="J111" s="13"/>
      <c r="K111" s="13">
        <v>4939</v>
      </c>
      <c r="L111" s="13">
        <v>0</v>
      </c>
    </row>
    <row r="112" spans="2:12" x14ac:dyDescent="0.25">
      <c r="B112" s="43">
        <f t="shared" si="38"/>
        <v>105</v>
      </c>
      <c r="C112" s="33" t="s">
        <v>76</v>
      </c>
      <c r="D112" s="33"/>
      <c r="E112" s="33"/>
      <c r="F112" s="33"/>
      <c r="G112" s="5" t="s">
        <v>75</v>
      </c>
      <c r="H112" s="6">
        <f>H113</f>
        <v>50850</v>
      </c>
      <c r="I112" s="6">
        <f>I113</f>
        <v>56050</v>
      </c>
      <c r="J112" s="6">
        <f>J113</f>
        <v>56050</v>
      </c>
      <c r="K112" s="6">
        <f>K113</f>
        <v>44926</v>
      </c>
      <c r="L112" s="6">
        <f>L113</f>
        <v>43121</v>
      </c>
    </row>
    <row r="113" spans="2:12" x14ac:dyDescent="0.25">
      <c r="B113" s="43">
        <f t="shared" si="38"/>
        <v>106</v>
      </c>
      <c r="C113" s="34">
        <v>220</v>
      </c>
      <c r="D113" s="34"/>
      <c r="E113" s="34"/>
      <c r="F113" s="34"/>
      <c r="G113" s="7" t="s">
        <v>35</v>
      </c>
      <c r="H113" s="8">
        <f>H114</f>
        <v>50850</v>
      </c>
      <c r="I113" s="8">
        <f t="shared" ref="I113:L114" si="42">I114</f>
        <v>56050</v>
      </c>
      <c r="J113" s="8">
        <f t="shared" si="42"/>
        <v>56050</v>
      </c>
      <c r="K113" s="8">
        <f t="shared" si="42"/>
        <v>44926</v>
      </c>
      <c r="L113" s="8">
        <f t="shared" si="42"/>
        <v>43121</v>
      </c>
    </row>
    <row r="114" spans="2:12" x14ac:dyDescent="0.25">
      <c r="B114" s="43">
        <f t="shared" si="38"/>
        <v>107</v>
      </c>
      <c r="C114" s="35"/>
      <c r="D114" s="35">
        <v>223</v>
      </c>
      <c r="E114" s="35"/>
      <c r="F114" s="35"/>
      <c r="G114" s="9" t="s">
        <v>41</v>
      </c>
      <c r="H114" s="10">
        <f>H115</f>
        <v>50850</v>
      </c>
      <c r="I114" s="10">
        <f t="shared" si="42"/>
        <v>56050</v>
      </c>
      <c r="J114" s="10">
        <f t="shared" si="42"/>
        <v>56050</v>
      </c>
      <c r="K114" s="10">
        <f t="shared" si="42"/>
        <v>44926</v>
      </c>
      <c r="L114" s="10">
        <f t="shared" si="42"/>
        <v>43121</v>
      </c>
    </row>
    <row r="115" spans="2:12" x14ac:dyDescent="0.25">
      <c r="B115" s="43">
        <f t="shared" si="38"/>
        <v>108</v>
      </c>
      <c r="C115" s="36"/>
      <c r="D115" s="36"/>
      <c r="E115" s="36">
        <v>223001</v>
      </c>
      <c r="F115" s="36"/>
      <c r="G115" s="12" t="s">
        <v>42</v>
      </c>
      <c r="H115" s="13">
        <f>50000+850</f>
        <v>50850</v>
      </c>
      <c r="I115" s="14">
        <f>55200+850</f>
        <v>56050</v>
      </c>
      <c r="J115" s="13">
        <f>55200+850</f>
        <v>56050</v>
      </c>
      <c r="K115" s="13">
        <f>43819+1107</f>
        <v>44926</v>
      </c>
      <c r="L115" s="13">
        <v>43121</v>
      </c>
    </row>
    <row r="116" spans="2:12" x14ac:dyDescent="0.25">
      <c r="B116" s="43">
        <f t="shared" si="38"/>
        <v>109</v>
      </c>
      <c r="C116" s="33" t="s">
        <v>77</v>
      </c>
      <c r="D116" s="33"/>
      <c r="E116" s="33"/>
      <c r="F116" s="33"/>
      <c r="G116" s="5" t="s">
        <v>78</v>
      </c>
      <c r="H116" s="6">
        <f>H117+H123+H120</f>
        <v>21000</v>
      </c>
      <c r="I116" s="6">
        <f t="shared" ref="I116:L116" si="43">I117+I123+I120</f>
        <v>21500</v>
      </c>
      <c r="J116" s="6">
        <f t="shared" si="43"/>
        <v>21500</v>
      </c>
      <c r="K116" s="6">
        <f t="shared" si="43"/>
        <v>20243</v>
      </c>
      <c r="L116" s="6">
        <f t="shared" si="43"/>
        <v>20069</v>
      </c>
    </row>
    <row r="117" spans="2:12" x14ac:dyDescent="0.25">
      <c r="B117" s="43">
        <f t="shared" si="38"/>
        <v>110</v>
      </c>
      <c r="C117" s="34">
        <v>210</v>
      </c>
      <c r="D117" s="34"/>
      <c r="E117" s="34"/>
      <c r="F117" s="34"/>
      <c r="G117" s="7" t="s">
        <v>28</v>
      </c>
      <c r="H117" s="8">
        <f>H118</f>
        <v>20000</v>
      </c>
      <c r="I117" s="8">
        <f t="shared" ref="I117:L118" si="44">I118</f>
        <v>20500</v>
      </c>
      <c r="J117" s="8">
        <f t="shared" si="44"/>
        <v>20500</v>
      </c>
      <c r="K117" s="8">
        <f t="shared" si="44"/>
        <v>19456</v>
      </c>
      <c r="L117" s="8">
        <f t="shared" si="44"/>
        <v>19308</v>
      </c>
    </row>
    <row r="118" spans="2:12" x14ac:dyDescent="0.25">
      <c r="B118" s="43">
        <f t="shared" si="38"/>
        <v>111</v>
      </c>
      <c r="C118" s="35"/>
      <c r="D118" s="35">
        <v>212</v>
      </c>
      <c r="E118" s="35"/>
      <c r="F118" s="35"/>
      <c r="G118" s="9" t="s">
        <v>31</v>
      </c>
      <c r="H118" s="10">
        <f>H119</f>
        <v>20000</v>
      </c>
      <c r="I118" s="10">
        <f t="shared" si="44"/>
        <v>20500</v>
      </c>
      <c r="J118" s="10">
        <f t="shared" si="44"/>
        <v>20500</v>
      </c>
      <c r="K118" s="10">
        <f t="shared" si="44"/>
        <v>19456</v>
      </c>
      <c r="L118" s="10">
        <f t="shared" si="44"/>
        <v>19308</v>
      </c>
    </row>
    <row r="119" spans="2:12" x14ac:dyDescent="0.25">
      <c r="B119" s="43">
        <f t="shared" si="38"/>
        <v>112</v>
      </c>
      <c r="C119" s="36"/>
      <c r="D119" s="36"/>
      <c r="E119" s="36">
        <v>212003</v>
      </c>
      <c r="F119" s="36"/>
      <c r="G119" s="12" t="s">
        <v>33</v>
      </c>
      <c r="H119" s="13">
        <v>20000</v>
      </c>
      <c r="I119" s="14">
        <v>20500</v>
      </c>
      <c r="J119" s="13">
        <v>20500</v>
      </c>
      <c r="K119" s="13">
        <v>19456</v>
      </c>
      <c r="L119" s="13">
        <v>19308</v>
      </c>
    </row>
    <row r="120" spans="2:12" x14ac:dyDescent="0.25">
      <c r="B120" s="43">
        <f t="shared" si="38"/>
        <v>113</v>
      </c>
      <c r="C120" s="34">
        <v>220</v>
      </c>
      <c r="D120" s="34"/>
      <c r="E120" s="34"/>
      <c r="F120" s="34"/>
      <c r="G120" s="7" t="s">
        <v>35</v>
      </c>
      <c r="H120" s="8">
        <f>H121</f>
        <v>1000</v>
      </c>
      <c r="I120" s="8">
        <f t="shared" ref="I120:L121" si="45">I121</f>
        <v>1000</v>
      </c>
      <c r="J120" s="8">
        <f t="shared" si="45"/>
        <v>1000</v>
      </c>
      <c r="K120" s="8">
        <f t="shared" si="45"/>
        <v>655</v>
      </c>
      <c r="L120" s="8">
        <f t="shared" si="45"/>
        <v>761</v>
      </c>
    </row>
    <row r="121" spans="2:12" x14ac:dyDescent="0.25">
      <c r="B121" s="43">
        <f t="shared" si="38"/>
        <v>114</v>
      </c>
      <c r="C121" s="35"/>
      <c r="D121" s="35">
        <v>223</v>
      </c>
      <c r="E121" s="35"/>
      <c r="F121" s="35"/>
      <c r="G121" s="9" t="s">
        <v>41</v>
      </c>
      <c r="H121" s="10">
        <f>H122</f>
        <v>1000</v>
      </c>
      <c r="I121" s="10">
        <f t="shared" si="45"/>
        <v>1000</v>
      </c>
      <c r="J121" s="10">
        <f t="shared" si="45"/>
        <v>1000</v>
      </c>
      <c r="K121" s="10">
        <f t="shared" si="45"/>
        <v>655</v>
      </c>
      <c r="L121" s="10">
        <f t="shared" si="45"/>
        <v>761</v>
      </c>
    </row>
    <row r="122" spans="2:12" x14ac:dyDescent="0.25">
      <c r="B122" s="43">
        <f t="shared" si="38"/>
        <v>115</v>
      </c>
      <c r="C122" s="36"/>
      <c r="D122" s="36"/>
      <c r="E122" s="36">
        <v>223001</v>
      </c>
      <c r="F122" s="36"/>
      <c r="G122" s="12" t="s">
        <v>42</v>
      </c>
      <c r="H122" s="13">
        <v>1000</v>
      </c>
      <c r="I122" s="14">
        <v>1000</v>
      </c>
      <c r="J122" s="13">
        <v>1000</v>
      </c>
      <c r="K122" s="13">
        <v>655</v>
      </c>
      <c r="L122" s="13">
        <v>761</v>
      </c>
    </row>
    <row r="123" spans="2:12" x14ac:dyDescent="0.25">
      <c r="B123" s="43">
        <f t="shared" si="38"/>
        <v>116</v>
      </c>
      <c r="C123" s="34">
        <v>290</v>
      </c>
      <c r="D123" s="34"/>
      <c r="E123" s="34"/>
      <c r="F123" s="34"/>
      <c r="G123" s="7" t="s">
        <v>49</v>
      </c>
      <c r="H123" s="8">
        <f>H124</f>
        <v>0</v>
      </c>
      <c r="I123" s="8">
        <f t="shared" ref="I123:L124" si="46">I124</f>
        <v>0</v>
      </c>
      <c r="J123" s="8">
        <f t="shared" si="46"/>
        <v>0</v>
      </c>
      <c r="K123" s="8">
        <f t="shared" si="46"/>
        <v>132</v>
      </c>
      <c r="L123" s="8">
        <f t="shared" si="46"/>
        <v>0</v>
      </c>
    </row>
    <row r="124" spans="2:12" x14ac:dyDescent="0.25">
      <c r="B124" s="43">
        <f t="shared" si="38"/>
        <v>117</v>
      </c>
      <c r="C124" s="35"/>
      <c r="D124" s="35">
        <v>292</v>
      </c>
      <c r="E124" s="35"/>
      <c r="F124" s="35"/>
      <c r="G124" s="9" t="s">
        <v>50</v>
      </c>
      <c r="H124" s="10">
        <f>H125</f>
        <v>0</v>
      </c>
      <c r="I124" s="10">
        <f t="shared" si="46"/>
        <v>0</v>
      </c>
      <c r="J124" s="10">
        <f t="shared" si="46"/>
        <v>0</v>
      </c>
      <c r="K124" s="10">
        <f t="shared" si="46"/>
        <v>132</v>
      </c>
      <c r="L124" s="10">
        <f t="shared" si="46"/>
        <v>0</v>
      </c>
    </row>
    <row r="125" spans="2:12" x14ac:dyDescent="0.25">
      <c r="B125" s="43">
        <f t="shared" si="38"/>
        <v>118</v>
      </c>
      <c r="C125" s="36"/>
      <c r="D125" s="36"/>
      <c r="E125" s="36">
        <v>292012</v>
      </c>
      <c r="F125" s="36"/>
      <c r="G125" s="12" t="s">
        <v>53</v>
      </c>
      <c r="H125" s="13">
        <v>0</v>
      </c>
      <c r="I125" s="13">
        <v>0</v>
      </c>
      <c r="J125" s="13"/>
      <c r="K125" s="13">
        <v>132</v>
      </c>
      <c r="L125" s="13">
        <v>0</v>
      </c>
    </row>
    <row r="126" spans="2:12" x14ac:dyDescent="0.25">
      <c r="B126" s="43">
        <f t="shared" si="38"/>
        <v>119</v>
      </c>
      <c r="C126" s="33" t="s">
        <v>80</v>
      </c>
      <c r="D126" s="33"/>
      <c r="E126" s="33"/>
      <c r="F126" s="33"/>
      <c r="G126" s="5" t="s">
        <v>79</v>
      </c>
      <c r="H126" s="6">
        <f>H127</f>
        <v>3500</v>
      </c>
      <c r="I126" s="6">
        <f t="shared" ref="I126:L128" si="47">I127</f>
        <v>3000</v>
      </c>
      <c r="J126" s="6">
        <f t="shared" si="47"/>
        <v>3000</v>
      </c>
      <c r="K126" s="6">
        <f t="shared" si="47"/>
        <v>8064</v>
      </c>
      <c r="L126" s="6">
        <f t="shared" si="47"/>
        <v>3818</v>
      </c>
    </row>
    <row r="127" spans="2:12" x14ac:dyDescent="0.25">
      <c r="B127" s="43">
        <f t="shared" si="38"/>
        <v>120</v>
      </c>
      <c r="C127" s="34">
        <v>220</v>
      </c>
      <c r="D127" s="34"/>
      <c r="E127" s="34"/>
      <c r="F127" s="34"/>
      <c r="G127" s="7" t="s">
        <v>35</v>
      </c>
      <c r="H127" s="8">
        <f>H128</f>
        <v>3500</v>
      </c>
      <c r="I127" s="8">
        <f t="shared" si="47"/>
        <v>3000</v>
      </c>
      <c r="J127" s="8">
        <f t="shared" si="47"/>
        <v>3000</v>
      </c>
      <c r="K127" s="8">
        <f t="shared" si="47"/>
        <v>8064</v>
      </c>
      <c r="L127" s="8">
        <f t="shared" si="47"/>
        <v>3818</v>
      </c>
    </row>
    <row r="128" spans="2:12" x14ac:dyDescent="0.25">
      <c r="B128" s="43">
        <f t="shared" si="38"/>
        <v>121</v>
      </c>
      <c r="C128" s="35"/>
      <c r="D128" s="35">
        <v>223</v>
      </c>
      <c r="E128" s="35"/>
      <c r="F128" s="35"/>
      <c r="G128" s="9" t="s">
        <v>41</v>
      </c>
      <c r="H128" s="10">
        <f>H129</f>
        <v>3500</v>
      </c>
      <c r="I128" s="10">
        <f t="shared" si="47"/>
        <v>3000</v>
      </c>
      <c r="J128" s="10">
        <f t="shared" si="47"/>
        <v>3000</v>
      </c>
      <c r="K128" s="10">
        <f t="shared" si="47"/>
        <v>8064</v>
      </c>
      <c r="L128" s="10">
        <f t="shared" si="47"/>
        <v>3818</v>
      </c>
    </row>
    <row r="129" spans="2:12" x14ac:dyDescent="0.25">
      <c r="B129" s="43">
        <f t="shared" si="38"/>
        <v>122</v>
      </c>
      <c r="C129" s="36"/>
      <c r="D129" s="36"/>
      <c r="E129" s="36">
        <v>223001</v>
      </c>
      <c r="F129" s="36"/>
      <c r="G129" s="12" t="s">
        <v>42</v>
      </c>
      <c r="H129" s="13">
        <v>3500</v>
      </c>
      <c r="I129" s="14">
        <v>3000</v>
      </c>
      <c r="J129" s="13">
        <v>3000</v>
      </c>
      <c r="K129" s="13">
        <v>8064</v>
      </c>
      <c r="L129" s="13">
        <v>3818</v>
      </c>
    </row>
    <row r="130" spans="2:12" x14ac:dyDescent="0.25">
      <c r="B130" s="43">
        <f t="shared" si="38"/>
        <v>123</v>
      </c>
      <c r="C130" s="33" t="s">
        <v>82</v>
      </c>
      <c r="D130" s="33"/>
      <c r="E130" s="33"/>
      <c r="F130" s="33"/>
      <c r="G130" s="5" t="s">
        <v>81</v>
      </c>
      <c r="H130" s="6">
        <f>H131</f>
        <v>0</v>
      </c>
      <c r="I130" s="6">
        <f t="shared" ref="I130:L130" si="48">I131</f>
        <v>0</v>
      </c>
      <c r="J130" s="6">
        <f t="shared" si="48"/>
        <v>0</v>
      </c>
      <c r="K130" s="6">
        <f t="shared" si="48"/>
        <v>63</v>
      </c>
      <c r="L130" s="6">
        <f t="shared" si="48"/>
        <v>0</v>
      </c>
    </row>
    <row r="131" spans="2:12" x14ac:dyDescent="0.25">
      <c r="B131" s="43">
        <f t="shared" si="38"/>
        <v>124</v>
      </c>
      <c r="C131" s="34">
        <v>220</v>
      </c>
      <c r="D131" s="34"/>
      <c r="E131" s="34"/>
      <c r="F131" s="34"/>
      <c r="G131" s="7" t="s">
        <v>35</v>
      </c>
      <c r="H131" s="8">
        <f>H132</f>
        <v>0</v>
      </c>
      <c r="I131" s="8">
        <f t="shared" ref="I131:L132" si="49">I132</f>
        <v>0</v>
      </c>
      <c r="J131" s="8">
        <f t="shared" si="49"/>
        <v>0</v>
      </c>
      <c r="K131" s="8">
        <f t="shared" si="49"/>
        <v>63</v>
      </c>
      <c r="L131" s="8">
        <f t="shared" si="49"/>
        <v>0</v>
      </c>
    </row>
    <row r="132" spans="2:12" x14ac:dyDescent="0.25">
      <c r="B132" s="43">
        <f t="shared" si="38"/>
        <v>125</v>
      </c>
      <c r="C132" s="35"/>
      <c r="D132" s="35">
        <v>223</v>
      </c>
      <c r="E132" s="35"/>
      <c r="F132" s="35"/>
      <c r="G132" s="9" t="s">
        <v>41</v>
      </c>
      <c r="H132" s="10">
        <f>H133</f>
        <v>0</v>
      </c>
      <c r="I132" s="10">
        <f t="shared" si="49"/>
        <v>0</v>
      </c>
      <c r="J132" s="10">
        <f t="shared" si="49"/>
        <v>0</v>
      </c>
      <c r="K132" s="10">
        <f t="shared" si="49"/>
        <v>63</v>
      </c>
      <c r="L132" s="10">
        <f t="shared" si="49"/>
        <v>0</v>
      </c>
    </row>
    <row r="133" spans="2:12" x14ac:dyDescent="0.25">
      <c r="B133" s="43">
        <f t="shared" si="38"/>
        <v>126</v>
      </c>
      <c r="C133" s="36"/>
      <c r="D133" s="36"/>
      <c r="E133" s="36">
        <v>223001</v>
      </c>
      <c r="F133" s="36"/>
      <c r="G133" s="12" t="s">
        <v>42</v>
      </c>
      <c r="H133" s="13">
        <v>0</v>
      </c>
      <c r="I133" s="13">
        <v>0</v>
      </c>
      <c r="J133" s="13"/>
      <c r="K133" s="13">
        <v>63</v>
      </c>
      <c r="L133" s="13">
        <v>0</v>
      </c>
    </row>
    <row r="134" spans="2:12" x14ac:dyDescent="0.25">
      <c r="B134" s="43">
        <f t="shared" si="38"/>
        <v>127</v>
      </c>
      <c r="C134" s="33" t="s">
        <v>83</v>
      </c>
      <c r="D134" s="33"/>
      <c r="E134" s="33"/>
      <c r="F134" s="33"/>
      <c r="G134" s="5" t="s">
        <v>84</v>
      </c>
      <c r="H134" s="6">
        <f>H135+H138</f>
        <v>167000</v>
      </c>
      <c r="I134" s="6">
        <f t="shared" ref="I134:L134" si="50">I135+I138</f>
        <v>170500</v>
      </c>
      <c r="J134" s="6">
        <f t="shared" si="50"/>
        <v>170500</v>
      </c>
      <c r="K134" s="6">
        <f t="shared" si="50"/>
        <v>171920</v>
      </c>
      <c r="L134" s="6">
        <f t="shared" si="50"/>
        <v>162365</v>
      </c>
    </row>
    <row r="135" spans="2:12" x14ac:dyDescent="0.25">
      <c r="B135" s="43">
        <f t="shared" si="38"/>
        <v>128</v>
      </c>
      <c r="C135" s="34">
        <v>210</v>
      </c>
      <c r="D135" s="34"/>
      <c r="E135" s="34"/>
      <c r="F135" s="34"/>
      <c r="G135" s="7" t="s">
        <v>28</v>
      </c>
      <c r="H135" s="8">
        <f>H136</f>
        <v>12000</v>
      </c>
      <c r="I135" s="8">
        <f t="shared" ref="I135:L136" si="51">I136</f>
        <v>15500</v>
      </c>
      <c r="J135" s="8">
        <f t="shared" si="51"/>
        <v>15500</v>
      </c>
      <c r="K135" s="8">
        <f t="shared" si="51"/>
        <v>18062</v>
      </c>
      <c r="L135" s="8">
        <f t="shared" si="51"/>
        <v>17037</v>
      </c>
    </row>
    <row r="136" spans="2:12" x14ac:dyDescent="0.25">
      <c r="B136" s="43">
        <f t="shared" si="38"/>
        <v>129</v>
      </c>
      <c r="C136" s="35"/>
      <c r="D136" s="35">
        <v>212</v>
      </c>
      <c r="E136" s="35"/>
      <c r="F136" s="35"/>
      <c r="G136" s="9" t="s">
        <v>31</v>
      </c>
      <c r="H136" s="10">
        <f>H137</f>
        <v>12000</v>
      </c>
      <c r="I136" s="10">
        <f t="shared" si="51"/>
        <v>15500</v>
      </c>
      <c r="J136" s="10">
        <f t="shared" si="51"/>
        <v>15500</v>
      </c>
      <c r="K136" s="10">
        <f t="shared" si="51"/>
        <v>18062</v>
      </c>
      <c r="L136" s="10">
        <f t="shared" si="51"/>
        <v>17037</v>
      </c>
    </row>
    <row r="137" spans="2:12" x14ac:dyDescent="0.25">
      <c r="B137" s="43">
        <f t="shared" si="38"/>
        <v>130</v>
      </c>
      <c r="C137" s="36"/>
      <c r="D137" s="36"/>
      <c r="E137" s="36">
        <v>212003</v>
      </c>
      <c r="F137" s="36"/>
      <c r="G137" s="12" t="s">
        <v>33</v>
      </c>
      <c r="H137" s="13">
        <v>12000</v>
      </c>
      <c r="I137" s="14">
        <v>15500</v>
      </c>
      <c r="J137" s="13">
        <v>15500</v>
      </c>
      <c r="K137" s="13">
        <v>18062</v>
      </c>
      <c r="L137" s="13">
        <v>17037</v>
      </c>
    </row>
    <row r="138" spans="2:12" x14ac:dyDescent="0.25">
      <c r="B138" s="43">
        <f t="shared" si="38"/>
        <v>131</v>
      </c>
      <c r="C138" s="34">
        <v>220</v>
      </c>
      <c r="D138" s="34"/>
      <c r="E138" s="34"/>
      <c r="F138" s="34"/>
      <c r="G138" s="7" t="s">
        <v>35</v>
      </c>
      <c r="H138" s="8">
        <f>H139</f>
        <v>155000</v>
      </c>
      <c r="I138" s="8">
        <f t="shared" ref="I138:L139" si="52">I139</f>
        <v>155000</v>
      </c>
      <c r="J138" s="8">
        <f t="shared" si="52"/>
        <v>155000</v>
      </c>
      <c r="K138" s="8">
        <f t="shared" si="52"/>
        <v>153858</v>
      </c>
      <c r="L138" s="8">
        <f t="shared" si="52"/>
        <v>145328</v>
      </c>
    </row>
    <row r="139" spans="2:12" x14ac:dyDescent="0.25">
      <c r="B139" s="43">
        <f t="shared" si="38"/>
        <v>132</v>
      </c>
      <c r="C139" s="35"/>
      <c r="D139" s="35">
        <v>223</v>
      </c>
      <c r="E139" s="35"/>
      <c r="F139" s="35"/>
      <c r="G139" s="9" t="s">
        <v>41</v>
      </c>
      <c r="H139" s="10">
        <f>H140</f>
        <v>155000</v>
      </c>
      <c r="I139" s="10">
        <f t="shared" si="52"/>
        <v>155000</v>
      </c>
      <c r="J139" s="10">
        <f t="shared" si="52"/>
        <v>155000</v>
      </c>
      <c r="K139" s="10">
        <f t="shared" si="52"/>
        <v>153858</v>
      </c>
      <c r="L139" s="10">
        <f t="shared" si="52"/>
        <v>145328</v>
      </c>
    </row>
    <row r="140" spans="2:12" x14ac:dyDescent="0.25">
      <c r="B140" s="43">
        <f t="shared" si="38"/>
        <v>133</v>
      </c>
      <c r="C140" s="36"/>
      <c r="D140" s="36"/>
      <c r="E140" s="36">
        <v>223001</v>
      </c>
      <c r="F140" s="36"/>
      <c r="G140" s="12" t="s">
        <v>42</v>
      </c>
      <c r="H140" s="13">
        <f>33000+7000+110000+1000+4000</f>
        <v>155000</v>
      </c>
      <c r="I140" s="14">
        <f>30000+10000+110000+1000+4000</f>
        <v>155000</v>
      </c>
      <c r="J140" s="13">
        <f>30000+10000+110000+1000+4000</f>
        <v>155000</v>
      </c>
      <c r="K140" s="13">
        <f>34196+7023+107803+812+4024</f>
        <v>153858</v>
      </c>
      <c r="L140" s="13">
        <f>30000+4000+110000+1328</f>
        <v>145328</v>
      </c>
    </row>
    <row r="141" spans="2:12" x14ac:dyDescent="0.25">
      <c r="B141" s="43">
        <f t="shared" si="38"/>
        <v>134</v>
      </c>
      <c r="C141" s="33" t="s">
        <v>85</v>
      </c>
      <c r="D141" s="33"/>
      <c r="E141" s="33"/>
      <c r="F141" s="33"/>
      <c r="G141" s="5" t="s">
        <v>86</v>
      </c>
      <c r="H141" s="6">
        <f>H142+H146</f>
        <v>105500</v>
      </c>
      <c r="I141" s="6">
        <f t="shared" ref="I141:L141" si="53">I142+I146</f>
        <v>98000</v>
      </c>
      <c r="J141" s="6">
        <f t="shared" si="53"/>
        <v>98000</v>
      </c>
      <c r="K141" s="6">
        <f t="shared" si="53"/>
        <v>0</v>
      </c>
      <c r="L141" s="6">
        <f t="shared" si="53"/>
        <v>415</v>
      </c>
    </row>
    <row r="142" spans="2:12" x14ac:dyDescent="0.25">
      <c r="B142" s="43">
        <f t="shared" si="38"/>
        <v>135</v>
      </c>
      <c r="C142" s="34">
        <v>210</v>
      </c>
      <c r="D142" s="34"/>
      <c r="E142" s="34"/>
      <c r="F142" s="34"/>
      <c r="G142" s="7" t="s">
        <v>28</v>
      </c>
      <c r="H142" s="8">
        <f>H143</f>
        <v>10000</v>
      </c>
      <c r="I142" s="8">
        <f t="shared" ref="I142:L142" si="54">I143</f>
        <v>2500</v>
      </c>
      <c r="J142" s="8">
        <f t="shared" si="54"/>
        <v>2500</v>
      </c>
      <c r="K142" s="8">
        <f t="shared" si="54"/>
        <v>0</v>
      </c>
      <c r="L142" s="8">
        <f t="shared" si="54"/>
        <v>0</v>
      </c>
    </row>
    <row r="143" spans="2:12" x14ac:dyDescent="0.25">
      <c r="B143" s="43">
        <f t="shared" si="38"/>
        <v>136</v>
      </c>
      <c r="C143" s="35"/>
      <c r="D143" s="35">
        <v>212</v>
      </c>
      <c r="E143" s="35"/>
      <c r="F143" s="35"/>
      <c r="G143" s="9" t="s">
        <v>31</v>
      </c>
      <c r="H143" s="10">
        <f>H144+H145</f>
        <v>10000</v>
      </c>
      <c r="I143" s="10">
        <f t="shared" ref="I143:L143" si="55">I145+I144</f>
        <v>2500</v>
      </c>
      <c r="J143" s="10">
        <f t="shared" si="55"/>
        <v>2500</v>
      </c>
      <c r="K143" s="10">
        <f t="shared" si="55"/>
        <v>0</v>
      </c>
      <c r="L143" s="10">
        <f t="shared" si="55"/>
        <v>0</v>
      </c>
    </row>
    <row r="144" spans="2:12" x14ac:dyDescent="0.25">
      <c r="B144" s="43">
        <f t="shared" si="38"/>
        <v>137</v>
      </c>
      <c r="C144" s="36"/>
      <c r="D144" s="36"/>
      <c r="E144" s="36">
        <v>212002</v>
      </c>
      <c r="F144" s="36"/>
      <c r="G144" s="12" t="s">
        <v>32</v>
      </c>
      <c r="H144" s="13">
        <v>1000</v>
      </c>
      <c r="I144" s="14">
        <v>500</v>
      </c>
      <c r="J144" s="13">
        <v>500</v>
      </c>
      <c r="K144" s="13"/>
      <c r="L144" s="13">
        <v>0</v>
      </c>
    </row>
    <row r="145" spans="2:12" x14ac:dyDescent="0.25">
      <c r="B145" s="43">
        <f t="shared" si="38"/>
        <v>138</v>
      </c>
      <c r="C145" s="36"/>
      <c r="D145" s="36"/>
      <c r="E145" s="36">
        <v>212003</v>
      </c>
      <c r="F145" s="36"/>
      <c r="G145" s="12" t="s">
        <v>33</v>
      </c>
      <c r="H145" s="13">
        <v>9000</v>
      </c>
      <c r="I145" s="14">
        <v>2000</v>
      </c>
      <c r="J145" s="13">
        <v>2000</v>
      </c>
      <c r="K145" s="13"/>
      <c r="L145" s="13">
        <v>0</v>
      </c>
    </row>
    <row r="146" spans="2:12" x14ac:dyDescent="0.25">
      <c r="B146" s="43">
        <f t="shared" si="38"/>
        <v>139</v>
      </c>
      <c r="C146" s="34">
        <v>220</v>
      </c>
      <c r="D146" s="34"/>
      <c r="E146" s="34"/>
      <c r="F146" s="34"/>
      <c r="G146" s="7" t="s">
        <v>35</v>
      </c>
      <c r="H146" s="8">
        <f>H147</f>
        <v>95500</v>
      </c>
      <c r="I146" s="8">
        <f t="shared" ref="I146:L147" si="56">I147</f>
        <v>95500</v>
      </c>
      <c r="J146" s="8">
        <f t="shared" si="56"/>
        <v>95500</v>
      </c>
      <c r="K146" s="8">
        <f t="shared" si="56"/>
        <v>0</v>
      </c>
      <c r="L146" s="8">
        <f t="shared" si="56"/>
        <v>415</v>
      </c>
    </row>
    <row r="147" spans="2:12" x14ac:dyDescent="0.25">
      <c r="B147" s="43">
        <f t="shared" si="38"/>
        <v>140</v>
      </c>
      <c r="C147" s="35"/>
      <c r="D147" s="35">
        <v>223</v>
      </c>
      <c r="E147" s="35"/>
      <c r="F147" s="35"/>
      <c r="G147" s="9" t="s">
        <v>41</v>
      </c>
      <c r="H147" s="10">
        <f>H148</f>
        <v>95500</v>
      </c>
      <c r="I147" s="10">
        <f t="shared" si="56"/>
        <v>95500</v>
      </c>
      <c r="J147" s="10">
        <f t="shared" si="56"/>
        <v>95500</v>
      </c>
      <c r="K147" s="10">
        <f t="shared" si="56"/>
        <v>0</v>
      </c>
      <c r="L147" s="10">
        <f t="shared" si="56"/>
        <v>415</v>
      </c>
    </row>
    <row r="148" spans="2:12" x14ac:dyDescent="0.25">
      <c r="B148" s="43">
        <f t="shared" si="38"/>
        <v>141</v>
      </c>
      <c r="C148" s="36"/>
      <c r="D148" s="36"/>
      <c r="E148" s="36">
        <v>223001</v>
      </c>
      <c r="F148" s="36"/>
      <c r="G148" s="12" t="s">
        <v>42</v>
      </c>
      <c r="H148" s="13">
        <f>300+95000+200</f>
        <v>95500</v>
      </c>
      <c r="I148" s="14">
        <f>300+95000+200</f>
        <v>95500</v>
      </c>
      <c r="J148" s="13">
        <f>300+95000+200</f>
        <v>95500</v>
      </c>
      <c r="K148" s="13"/>
      <c r="L148" s="13">
        <v>415</v>
      </c>
    </row>
    <row r="149" spans="2:12" x14ac:dyDescent="0.25">
      <c r="B149" s="43">
        <f t="shared" si="38"/>
        <v>142</v>
      </c>
      <c r="C149" s="33" t="s">
        <v>87</v>
      </c>
      <c r="D149" s="33"/>
      <c r="E149" s="33"/>
      <c r="F149" s="33"/>
      <c r="G149" s="5" t="s">
        <v>88</v>
      </c>
      <c r="H149" s="6">
        <f>H150+H156+H153</f>
        <v>467900</v>
      </c>
      <c r="I149" s="6">
        <f t="shared" ref="I149:L149" si="57">I150+I156+I153</f>
        <v>72000</v>
      </c>
      <c r="J149" s="6">
        <f t="shared" si="57"/>
        <v>72000</v>
      </c>
      <c r="K149" s="6">
        <f t="shared" si="57"/>
        <v>67838</v>
      </c>
      <c r="L149" s="6">
        <f t="shared" si="57"/>
        <v>83596</v>
      </c>
    </row>
    <row r="150" spans="2:12" x14ac:dyDescent="0.25">
      <c r="B150" s="43">
        <f t="shared" si="38"/>
        <v>143</v>
      </c>
      <c r="C150" s="34">
        <v>210</v>
      </c>
      <c r="D150" s="34"/>
      <c r="E150" s="34"/>
      <c r="F150" s="34"/>
      <c r="G150" s="7" t="s">
        <v>28</v>
      </c>
      <c r="H150" s="8">
        <f>H151</f>
        <v>102000</v>
      </c>
      <c r="I150" s="8">
        <f t="shared" ref="I150:L151" si="58">I151</f>
        <v>50000</v>
      </c>
      <c r="J150" s="8">
        <f t="shared" si="58"/>
        <v>50000</v>
      </c>
      <c r="K150" s="8">
        <f t="shared" si="58"/>
        <v>45850</v>
      </c>
      <c r="L150" s="8">
        <f t="shared" si="58"/>
        <v>56044</v>
      </c>
    </row>
    <row r="151" spans="2:12" x14ac:dyDescent="0.25">
      <c r="B151" s="43">
        <f t="shared" ref="B151:B168" si="59">B150+1</f>
        <v>144</v>
      </c>
      <c r="C151" s="35"/>
      <c r="D151" s="35">
        <v>212</v>
      </c>
      <c r="E151" s="35"/>
      <c r="F151" s="35"/>
      <c r="G151" s="9" t="s">
        <v>31</v>
      </c>
      <c r="H151" s="10">
        <f>H152</f>
        <v>102000</v>
      </c>
      <c r="I151" s="10">
        <f t="shared" si="58"/>
        <v>50000</v>
      </c>
      <c r="J151" s="10">
        <f t="shared" si="58"/>
        <v>50000</v>
      </c>
      <c r="K151" s="10">
        <f t="shared" si="58"/>
        <v>45850</v>
      </c>
      <c r="L151" s="10">
        <f t="shared" si="58"/>
        <v>56044</v>
      </c>
    </row>
    <row r="152" spans="2:12" x14ac:dyDescent="0.25">
      <c r="B152" s="43">
        <f t="shared" si="59"/>
        <v>145</v>
      </c>
      <c r="C152" s="36"/>
      <c r="D152" s="36"/>
      <c r="E152" s="36">
        <v>212003</v>
      </c>
      <c r="F152" s="36"/>
      <c r="G152" s="12" t="s">
        <v>33</v>
      </c>
      <c r="H152" s="13">
        <v>102000</v>
      </c>
      <c r="I152" s="14">
        <v>50000</v>
      </c>
      <c r="J152" s="13">
        <v>50000</v>
      </c>
      <c r="K152" s="13">
        <v>45850</v>
      </c>
      <c r="L152" s="13">
        <v>56044</v>
      </c>
    </row>
    <row r="153" spans="2:12" x14ac:dyDescent="0.25">
      <c r="B153" s="43">
        <f t="shared" si="59"/>
        <v>146</v>
      </c>
      <c r="C153" s="34">
        <v>220</v>
      </c>
      <c r="D153" s="34"/>
      <c r="E153" s="34"/>
      <c r="F153" s="34"/>
      <c r="G153" s="7" t="s">
        <v>35</v>
      </c>
      <c r="H153" s="8">
        <f>H154</f>
        <v>365900</v>
      </c>
      <c r="I153" s="8">
        <f t="shared" ref="I153:L154" si="60">I154</f>
        <v>22000</v>
      </c>
      <c r="J153" s="8">
        <f t="shared" si="60"/>
        <v>22000</v>
      </c>
      <c r="K153" s="8">
        <f t="shared" si="60"/>
        <v>21982</v>
      </c>
      <c r="L153" s="8">
        <f t="shared" si="60"/>
        <v>27552</v>
      </c>
    </row>
    <row r="154" spans="2:12" x14ac:dyDescent="0.25">
      <c r="B154" s="43">
        <f t="shared" si="59"/>
        <v>147</v>
      </c>
      <c r="C154" s="35"/>
      <c r="D154" s="35">
        <v>223</v>
      </c>
      <c r="E154" s="35"/>
      <c r="F154" s="35"/>
      <c r="G154" s="9" t="s">
        <v>41</v>
      </c>
      <c r="H154" s="10">
        <f>H155</f>
        <v>365900</v>
      </c>
      <c r="I154" s="10">
        <f t="shared" si="60"/>
        <v>22000</v>
      </c>
      <c r="J154" s="10">
        <f t="shared" si="60"/>
        <v>22000</v>
      </c>
      <c r="K154" s="10">
        <f t="shared" si="60"/>
        <v>21982</v>
      </c>
      <c r="L154" s="10">
        <f t="shared" si="60"/>
        <v>27552</v>
      </c>
    </row>
    <row r="155" spans="2:12" x14ac:dyDescent="0.25">
      <c r="B155" s="43">
        <f t="shared" si="59"/>
        <v>148</v>
      </c>
      <c r="C155" s="36"/>
      <c r="D155" s="36"/>
      <c r="E155" s="36">
        <v>223001</v>
      </c>
      <c r="F155" s="36"/>
      <c r="G155" s="12" t="s">
        <v>42</v>
      </c>
      <c r="H155" s="13">
        <f>205900+160000</f>
        <v>365900</v>
      </c>
      <c r="I155" s="14">
        <f>5000+17000</f>
        <v>22000</v>
      </c>
      <c r="J155" s="13">
        <f>5000+17000</f>
        <v>22000</v>
      </c>
      <c r="K155" s="13">
        <f>14390+7592</f>
        <v>21982</v>
      </c>
      <c r="L155" s="13">
        <f>11742+15810</f>
        <v>27552</v>
      </c>
    </row>
    <row r="156" spans="2:12" x14ac:dyDescent="0.25">
      <c r="B156" s="43">
        <f t="shared" si="59"/>
        <v>149</v>
      </c>
      <c r="C156" s="34">
        <v>290</v>
      </c>
      <c r="D156" s="34"/>
      <c r="E156" s="34"/>
      <c r="F156" s="34"/>
      <c r="G156" s="7" t="s">
        <v>49</v>
      </c>
      <c r="H156" s="8">
        <f>H157</f>
        <v>0</v>
      </c>
      <c r="I156" s="8">
        <f t="shared" ref="I156:L157" si="61">I157</f>
        <v>0</v>
      </c>
      <c r="J156" s="8">
        <f t="shared" si="61"/>
        <v>0</v>
      </c>
      <c r="K156" s="8">
        <f t="shared" si="61"/>
        <v>6</v>
      </c>
      <c r="L156" s="8">
        <f t="shared" si="61"/>
        <v>0</v>
      </c>
    </row>
    <row r="157" spans="2:12" x14ac:dyDescent="0.25">
      <c r="B157" s="43">
        <f t="shared" si="59"/>
        <v>150</v>
      </c>
      <c r="C157" s="35"/>
      <c r="D157" s="35">
        <v>292</v>
      </c>
      <c r="E157" s="35"/>
      <c r="F157" s="35"/>
      <c r="G157" s="9" t="s">
        <v>50</v>
      </c>
      <c r="H157" s="10">
        <f>H158</f>
        <v>0</v>
      </c>
      <c r="I157" s="10">
        <f t="shared" si="61"/>
        <v>0</v>
      </c>
      <c r="J157" s="10">
        <f t="shared" si="61"/>
        <v>0</v>
      </c>
      <c r="K157" s="10">
        <f t="shared" si="61"/>
        <v>6</v>
      </c>
      <c r="L157" s="10">
        <f t="shared" si="61"/>
        <v>0</v>
      </c>
    </row>
    <row r="158" spans="2:12" x14ac:dyDescent="0.25">
      <c r="B158" s="43">
        <f t="shared" si="59"/>
        <v>151</v>
      </c>
      <c r="C158" s="36"/>
      <c r="D158" s="36"/>
      <c r="E158" s="36">
        <v>292012</v>
      </c>
      <c r="F158" s="36"/>
      <c r="G158" s="12" t="s">
        <v>53</v>
      </c>
      <c r="H158" s="13">
        <v>0</v>
      </c>
      <c r="I158" s="13">
        <v>0</v>
      </c>
      <c r="J158" s="13"/>
      <c r="K158" s="13">
        <v>6</v>
      </c>
      <c r="L158" s="13">
        <v>0</v>
      </c>
    </row>
    <row r="159" spans="2:12" x14ac:dyDescent="0.25">
      <c r="B159" s="43">
        <f t="shared" si="59"/>
        <v>152</v>
      </c>
      <c r="C159" s="33" t="s">
        <v>91</v>
      </c>
      <c r="D159" s="33"/>
      <c r="E159" s="33"/>
      <c r="F159" s="33"/>
      <c r="G159" s="5" t="s">
        <v>90</v>
      </c>
      <c r="H159" s="6">
        <f>H160</f>
        <v>75000</v>
      </c>
      <c r="I159" s="6">
        <f t="shared" ref="I159:L161" si="62">I160</f>
        <v>65000</v>
      </c>
      <c r="J159" s="6">
        <f t="shared" si="62"/>
        <v>65000</v>
      </c>
      <c r="K159" s="6">
        <f t="shared" si="62"/>
        <v>90361</v>
      </c>
      <c r="L159" s="6">
        <f t="shared" si="62"/>
        <v>66470</v>
      </c>
    </row>
    <row r="160" spans="2:12" x14ac:dyDescent="0.25">
      <c r="B160" s="43">
        <f t="shared" si="59"/>
        <v>153</v>
      </c>
      <c r="C160" s="34">
        <v>220</v>
      </c>
      <c r="D160" s="34"/>
      <c r="E160" s="34"/>
      <c r="F160" s="34"/>
      <c r="G160" s="7" t="s">
        <v>35</v>
      </c>
      <c r="H160" s="8">
        <f>H161</f>
        <v>75000</v>
      </c>
      <c r="I160" s="8">
        <f t="shared" si="62"/>
        <v>65000</v>
      </c>
      <c r="J160" s="8">
        <f t="shared" si="62"/>
        <v>65000</v>
      </c>
      <c r="K160" s="8">
        <f t="shared" si="62"/>
        <v>90361</v>
      </c>
      <c r="L160" s="8">
        <f t="shared" si="62"/>
        <v>66470</v>
      </c>
    </row>
    <row r="161" spans="2:12" x14ac:dyDescent="0.25">
      <c r="B161" s="43">
        <f t="shared" si="59"/>
        <v>154</v>
      </c>
      <c r="C161" s="35"/>
      <c r="D161" s="35">
        <v>223</v>
      </c>
      <c r="E161" s="35"/>
      <c r="F161" s="35"/>
      <c r="G161" s="9" t="s">
        <v>41</v>
      </c>
      <c r="H161" s="10">
        <f>H162</f>
        <v>75000</v>
      </c>
      <c r="I161" s="10">
        <f t="shared" si="62"/>
        <v>65000</v>
      </c>
      <c r="J161" s="10">
        <f t="shared" si="62"/>
        <v>65000</v>
      </c>
      <c r="K161" s="10">
        <f t="shared" si="62"/>
        <v>90361</v>
      </c>
      <c r="L161" s="10">
        <f t="shared" si="62"/>
        <v>66470</v>
      </c>
    </row>
    <row r="162" spans="2:12" x14ac:dyDescent="0.25">
      <c r="B162" s="43">
        <f t="shared" si="59"/>
        <v>155</v>
      </c>
      <c r="C162" s="36"/>
      <c r="D162" s="36"/>
      <c r="E162" s="36">
        <v>223001</v>
      </c>
      <c r="F162" s="36"/>
      <c r="G162" s="12" t="s">
        <v>42</v>
      </c>
      <c r="H162" s="13">
        <v>75000</v>
      </c>
      <c r="I162" s="14">
        <v>65000</v>
      </c>
      <c r="J162" s="13">
        <v>65000</v>
      </c>
      <c r="K162" s="13">
        <f>90061+300</f>
        <v>90361</v>
      </c>
      <c r="L162" s="13">
        <v>66470</v>
      </c>
    </row>
    <row r="163" spans="2:12" x14ac:dyDescent="0.25">
      <c r="B163" s="43">
        <f t="shared" si="59"/>
        <v>156</v>
      </c>
      <c r="C163" s="33" t="s">
        <v>93</v>
      </c>
      <c r="D163" s="33"/>
      <c r="E163" s="33"/>
      <c r="F163" s="33"/>
      <c r="G163" s="5" t="s">
        <v>94</v>
      </c>
      <c r="H163" s="6">
        <f>H164+H167</f>
        <v>12550</v>
      </c>
      <c r="I163" s="6">
        <f t="shared" ref="I163:L163" si="63">I167+I164</f>
        <v>12540</v>
      </c>
      <c r="J163" s="6">
        <f t="shared" si="63"/>
        <v>12540</v>
      </c>
      <c r="K163" s="6">
        <f t="shared" si="63"/>
        <v>12247</v>
      </c>
      <c r="L163" s="6">
        <f t="shared" si="63"/>
        <v>13175</v>
      </c>
    </row>
    <row r="164" spans="2:12" x14ac:dyDescent="0.25">
      <c r="B164" s="43">
        <f t="shared" si="59"/>
        <v>157</v>
      </c>
      <c r="C164" s="34">
        <v>210</v>
      </c>
      <c r="D164" s="34"/>
      <c r="E164" s="34"/>
      <c r="F164" s="34"/>
      <c r="G164" s="7" t="s">
        <v>28</v>
      </c>
      <c r="H164" s="8">
        <f>H165</f>
        <v>50</v>
      </c>
      <c r="I164" s="8">
        <f t="shared" ref="I164:L165" si="64">I165</f>
        <v>40</v>
      </c>
      <c r="J164" s="8">
        <f t="shared" si="64"/>
        <v>40</v>
      </c>
      <c r="K164" s="8">
        <f t="shared" si="64"/>
        <v>36</v>
      </c>
      <c r="L164" s="8">
        <f t="shared" si="64"/>
        <v>36</v>
      </c>
    </row>
    <row r="165" spans="2:12" x14ac:dyDescent="0.25">
      <c r="B165" s="43">
        <f t="shared" si="59"/>
        <v>158</v>
      </c>
      <c r="C165" s="35"/>
      <c r="D165" s="35">
        <v>212</v>
      </c>
      <c r="E165" s="35"/>
      <c r="F165" s="35"/>
      <c r="G165" s="9" t="s">
        <v>31</v>
      </c>
      <c r="H165" s="10">
        <f>H166</f>
        <v>50</v>
      </c>
      <c r="I165" s="10">
        <f t="shared" si="64"/>
        <v>40</v>
      </c>
      <c r="J165" s="10">
        <f t="shared" si="64"/>
        <v>40</v>
      </c>
      <c r="K165" s="10">
        <f t="shared" si="64"/>
        <v>36</v>
      </c>
      <c r="L165" s="10">
        <f t="shared" si="64"/>
        <v>36</v>
      </c>
    </row>
    <row r="166" spans="2:12" x14ac:dyDescent="0.25">
      <c r="B166" s="43">
        <f t="shared" si="59"/>
        <v>159</v>
      </c>
      <c r="C166" s="36"/>
      <c r="D166" s="36"/>
      <c r="E166" s="36">
        <v>212003</v>
      </c>
      <c r="F166" s="36"/>
      <c r="G166" s="12" t="s">
        <v>33</v>
      </c>
      <c r="H166" s="13">
        <v>50</v>
      </c>
      <c r="I166" s="14">
        <v>40</v>
      </c>
      <c r="J166" s="13">
        <v>40</v>
      </c>
      <c r="K166" s="13">
        <v>36</v>
      </c>
      <c r="L166" s="13">
        <v>36</v>
      </c>
    </row>
    <row r="167" spans="2:12" x14ac:dyDescent="0.25">
      <c r="B167" s="43">
        <f t="shared" si="59"/>
        <v>160</v>
      </c>
      <c r="C167" s="34">
        <v>220</v>
      </c>
      <c r="D167" s="34"/>
      <c r="E167" s="34"/>
      <c r="F167" s="34"/>
      <c r="G167" s="7" t="s">
        <v>35</v>
      </c>
      <c r="H167" s="8">
        <f>H168</f>
        <v>12500</v>
      </c>
      <c r="I167" s="15">
        <f t="shared" ref="I167:L168" si="65">I168</f>
        <v>12500</v>
      </c>
      <c r="J167" s="8">
        <f t="shared" si="65"/>
        <v>12500</v>
      </c>
      <c r="K167" s="8">
        <f t="shared" si="65"/>
        <v>12211</v>
      </c>
      <c r="L167" s="8">
        <f t="shared" si="65"/>
        <v>13139</v>
      </c>
    </row>
    <row r="168" spans="2:12" x14ac:dyDescent="0.25">
      <c r="B168" s="43">
        <f t="shared" si="59"/>
        <v>161</v>
      </c>
      <c r="C168" s="35"/>
      <c r="D168" s="35">
        <v>223</v>
      </c>
      <c r="E168" s="35"/>
      <c r="F168" s="35"/>
      <c r="G168" s="9" t="s">
        <v>41</v>
      </c>
      <c r="H168" s="10">
        <f>H169</f>
        <v>12500</v>
      </c>
      <c r="I168" s="16">
        <f t="shared" si="65"/>
        <v>12500</v>
      </c>
      <c r="J168" s="10">
        <f t="shared" si="65"/>
        <v>12500</v>
      </c>
      <c r="K168" s="10">
        <f t="shared" si="65"/>
        <v>12211</v>
      </c>
      <c r="L168" s="10">
        <f t="shared" si="65"/>
        <v>13139</v>
      </c>
    </row>
    <row r="169" spans="2:12" x14ac:dyDescent="0.25">
      <c r="B169" s="43">
        <f t="shared" ref="B169:B201" si="66">B168+1</f>
        <v>162</v>
      </c>
      <c r="C169" s="36"/>
      <c r="D169" s="36"/>
      <c r="E169" s="36">
        <v>223001</v>
      </c>
      <c r="F169" s="36"/>
      <c r="G169" s="12" t="s">
        <v>42</v>
      </c>
      <c r="H169" s="13">
        <v>12500</v>
      </c>
      <c r="I169" s="14">
        <v>12500</v>
      </c>
      <c r="J169" s="13">
        <v>12500</v>
      </c>
      <c r="K169" s="13">
        <v>12211</v>
      </c>
      <c r="L169" s="13">
        <v>13139</v>
      </c>
    </row>
    <row r="170" spans="2:12" x14ac:dyDescent="0.25">
      <c r="B170" s="43">
        <f t="shared" si="66"/>
        <v>163</v>
      </c>
      <c r="C170" s="33" t="s">
        <v>95</v>
      </c>
      <c r="D170" s="33"/>
      <c r="E170" s="33"/>
      <c r="F170" s="33"/>
      <c r="G170" s="5" t="s">
        <v>96</v>
      </c>
      <c r="H170" s="6">
        <f>H171+H175</f>
        <v>49200</v>
      </c>
      <c r="I170" s="6">
        <f t="shared" ref="I170:L170" si="67">I171+I175</f>
        <v>41200</v>
      </c>
      <c r="J170" s="6">
        <f t="shared" si="67"/>
        <v>41200</v>
      </c>
      <c r="K170" s="6">
        <f t="shared" si="67"/>
        <v>39611</v>
      </c>
      <c r="L170" s="6">
        <f t="shared" si="67"/>
        <v>50620</v>
      </c>
    </row>
    <row r="171" spans="2:12" x14ac:dyDescent="0.25">
      <c r="B171" s="43">
        <f t="shared" si="66"/>
        <v>164</v>
      </c>
      <c r="C171" s="34">
        <v>210</v>
      </c>
      <c r="D171" s="34"/>
      <c r="E171" s="34"/>
      <c r="F171" s="34"/>
      <c r="G171" s="7" t="s">
        <v>28</v>
      </c>
      <c r="H171" s="8">
        <f>H172</f>
        <v>200</v>
      </c>
      <c r="I171" s="8">
        <f t="shared" ref="I171:L171" si="68">I172</f>
        <v>200</v>
      </c>
      <c r="J171" s="8">
        <f t="shared" si="68"/>
        <v>200</v>
      </c>
      <c r="K171" s="8">
        <f t="shared" si="68"/>
        <v>182</v>
      </c>
      <c r="L171" s="8">
        <f t="shared" si="68"/>
        <v>503</v>
      </c>
    </row>
    <row r="172" spans="2:12" x14ac:dyDescent="0.25">
      <c r="B172" s="43">
        <f t="shared" si="66"/>
        <v>165</v>
      </c>
      <c r="C172" s="35"/>
      <c r="D172" s="35">
        <v>212</v>
      </c>
      <c r="E172" s="35"/>
      <c r="F172" s="35"/>
      <c r="G172" s="9" t="s">
        <v>31</v>
      </c>
      <c r="H172" s="10">
        <f>H173+H174</f>
        <v>200</v>
      </c>
      <c r="I172" s="10">
        <f t="shared" ref="I172:L172" si="69">I174+I173</f>
        <v>200</v>
      </c>
      <c r="J172" s="10">
        <f t="shared" si="69"/>
        <v>200</v>
      </c>
      <c r="K172" s="10">
        <f t="shared" si="69"/>
        <v>182</v>
      </c>
      <c r="L172" s="10">
        <f t="shared" si="69"/>
        <v>503</v>
      </c>
    </row>
    <row r="173" spans="2:12" x14ac:dyDescent="0.25">
      <c r="B173" s="43">
        <f t="shared" si="66"/>
        <v>166</v>
      </c>
      <c r="C173" s="36"/>
      <c r="D173" s="36"/>
      <c r="E173" s="36">
        <v>212002</v>
      </c>
      <c r="F173" s="36"/>
      <c r="G173" s="12" t="s">
        <v>32</v>
      </c>
      <c r="H173" s="13">
        <v>200</v>
      </c>
      <c r="I173" s="14">
        <v>200</v>
      </c>
      <c r="J173" s="13">
        <v>200</v>
      </c>
      <c r="K173" s="13">
        <v>180</v>
      </c>
      <c r="L173" s="13">
        <v>180</v>
      </c>
    </row>
    <row r="174" spans="2:12" x14ac:dyDescent="0.25">
      <c r="B174" s="43">
        <f t="shared" si="66"/>
        <v>167</v>
      </c>
      <c r="C174" s="36"/>
      <c r="D174" s="36"/>
      <c r="E174" s="36">
        <v>212003</v>
      </c>
      <c r="F174" s="36"/>
      <c r="G174" s="12" t="s">
        <v>33</v>
      </c>
      <c r="H174" s="13">
        <v>0</v>
      </c>
      <c r="I174" s="13">
        <v>0</v>
      </c>
      <c r="J174" s="13"/>
      <c r="K174" s="13">
        <v>2</v>
      </c>
      <c r="L174" s="13">
        <v>323</v>
      </c>
    </row>
    <row r="175" spans="2:12" x14ac:dyDescent="0.25">
      <c r="B175" s="43">
        <f t="shared" si="66"/>
        <v>168</v>
      </c>
      <c r="C175" s="34">
        <v>220</v>
      </c>
      <c r="D175" s="34"/>
      <c r="E175" s="34"/>
      <c r="F175" s="34"/>
      <c r="G175" s="7" t="s">
        <v>35</v>
      </c>
      <c r="H175" s="8">
        <f>H176</f>
        <v>49000</v>
      </c>
      <c r="I175" s="8">
        <f t="shared" ref="I175:L176" si="70">I176</f>
        <v>41000</v>
      </c>
      <c r="J175" s="8">
        <f t="shared" si="70"/>
        <v>41000</v>
      </c>
      <c r="K175" s="8">
        <f t="shared" si="70"/>
        <v>39429</v>
      </c>
      <c r="L175" s="8">
        <f t="shared" si="70"/>
        <v>50117</v>
      </c>
    </row>
    <row r="176" spans="2:12" x14ac:dyDescent="0.25">
      <c r="B176" s="43">
        <f t="shared" si="66"/>
        <v>169</v>
      </c>
      <c r="C176" s="35"/>
      <c r="D176" s="35">
        <v>223</v>
      </c>
      <c r="E176" s="35"/>
      <c r="F176" s="35"/>
      <c r="G176" s="9" t="s">
        <v>41</v>
      </c>
      <c r="H176" s="10">
        <f>H177</f>
        <v>49000</v>
      </c>
      <c r="I176" s="10">
        <f t="shared" si="70"/>
        <v>41000</v>
      </c>
      <c r="J176" s="10">
        <f t="shared" si="70"/>
        <v>41000</v>
      </c>
      <c r="K176" s="10">
        <f t="shared" si="70"/>
        <v>39429</v>
      </c>
      <c r="L176" s="10">
        <f t="shared" si="70"/>
        <v>50117</v>
      </c>
    </row>
    <row r="177" spans="2:12" x14ac:dyDescent="0.25">
      <c r="B177" s="43">
        <f t="shared" si="66"/>
        <v>170</v>
      </c>
      <c r="C177" s="36"/>
      <c r="D177" s="36"/>
      <c r="E177" s="36">
        <v>223001</v>
      </c>
      <c r="F177" s="36"/>
      <c r="G177" s="12" t="s">
        <v>42</v>
      </c>
      <c r="H177" s="13">
        <f>48000+1000</f>
        <v>49000</v>
      </c>
      <c r="I177" s="14">
        <f>40000+1000</f>
        <v>41000</v>
      </c>
      <c r="J177" s="13">
        <f>40000+1000</f>
        <v>41000</v>
      </c>
      <c r="K177" s="13">
        <f>39224+205</f>
        <v>39429</v>
      </c>
      <c r="L177" s="13">
        <f>49354+763</f>
        <v>50117</v>
      </c>
    </row>
    <row r="178" spans="2:12" x14ac:dyDescent="0.25">
      <c r="B178" s="43">
        <f t="shared" si="66"/>
        <v>171</v>
      </c>
      <c r="C178" s="33" t="s">
        <v>97</v>
      </c>
      <c r="D178" s="33"/>
      <c r="E178" s="33"/>
      <c r="F178" s="33"/>
      <c r="G178" s="5" t="s">
        <v>98</v>
      </c>
      <c r="H178" s="6">
        <f>H179+H182</f>
        <v>7600</v>
      </c>
      <c r="I178" s="6">
        <f t="shared" ref="I178:L178" si="71">I179+I182</f>
        <v>5300</v>
      </c>
      <c r="J178" s="6">
        <f t="shared" si="71"/>
        <v>5300</v>
      </c>
      <c r="K178" s="6">
        <f t="shared" si="71"/>
        <v>21400</v>
      </c>
      <c r="L178" s="6">
        <f t="shared" si="71"/>
        <v>0</v>
      </c>
    </row>
    <row r="179" spans="2:12" x14ac:dyDescent="0.25">
      <c r="B179" s="43">
        <f t="shared" si="66"/>
        <v>172</v>
      </c>
      <c r="C179" s="34">
        <v>210</v>
      </c>
      <c r="D179" s="34"/>
      <c r="E179" s="34"/>
      <c r="F179" s="34"/>
      <c r="G179" s="7" t="s">
        <v>28</v>
      </c>
      <c r="H179" s="8">
        <f>H180</f>
        <v>600</v>
      </c>
      <c r="I179" s="8">
        <f t="shared" ref="I179:L180" si="72">I180</f>
        <v>300</v>
      </c>
      <c r="J179" s="8">
        <f t="shared" si="72"/>
        <v>300</v>
      </c>
      <c r="K179" s="8">
        <f t="shared" si="72"/>
        <v>600</v>
      </c>
      <c r="L179" s="8">
        <f t="shared" si="72"/>
        <v>0</v>
      </c>
    </row>
    <row r="180" spans="2:12" x14ac:dyDescent="0.25">
      <c r="B180" s="43">
        <f t="shared" si="66"/>
        <v>173</v>
      </c>
      <c r="C180" s="35"/>
      <c r="D180" s="35">
        <v>212</v>
      </c>
      <c r="E180" s="35"/>
      <c r="F180" s="35"/>
      <c r="G180" s="9" t="s">
        <v>31</v>
      </c>
      <c r="H180" s="10">
        <f>H181</f>
        <v>600</v>
      </c>
      <c r="I180" s="10">
        <f t="shared" si="72"/>
        <v>300</v>
      </c>
      <c r="J180" s="10">
        <f t="shared" si="72"/>
        <v>300</v>
      </c>
      <c r="K180" s="10">
        <f t="shared" si="72"/>
        <v>600</v>
      </c>
      <c r="L180" s="10">
        <f t="shared" si="72"/>
        <v>0</v>
      </c>
    </row>
    <row r="181" spans="2:12" x14ac:dyDescent="0.25">
      <c r="B181" s="43">
        <f t="shared" si="66"/>
        <v>174</v>
      </c>
      <c r="C181" s="36"/>
      <c r="D181" s="36"/>
      <c r="E181" s="36">
        <v>212002</v>
      </c>
      <c r="F181" s="36"/>
      <c r="G181" s="12" t="s">
        <v>32</v>
      </c>
      <c r="H181" s="13">
        <v>600</v>
      </c>
      <c r="I181" s="14">
        <v>300</v>
      </c>
      <c r="J181" s="13">
        <v>300</v>
      </c>
      <c r="K181" s="13">
        <v>600</v>
      </c>
      <c r="L181" s="13">
        <v>0</v>
      </c>
    </row>
    <row r="182" spans="2:12" x14ac:dyDescent="0.25">
      <c r="B182" s="43">
        <f t="shared" si="66"/>
        <v>175</v>
      </c>
      <c r="C182" s="34">
        <v>220</v>
      </c>
      <c r="D182" s="34"/>
      <c r="E182" s="34"/>
      <c r="F182" s="34"/>
      <c r="G182" s="7" t="s">
        <v>35</v>
      </c>
      <c r="H182" s="8">
        <f>H183</f>
        <v>7000</v>
      </c>
      <c r="I182" s="8">
        <f t="shared" ref="I182:L183" si="73">I183</f>
        <v>5000</v>
      </c>
      <c r="J182" s="8">
        <f t="shared" si="73"/>
        <v>5000</v>
      </c>
      <c r="K182" s="8">
        <f t="shared" si="73"/>
        <v>20800</v>
      </c>
      <c r="L182" s="8">
        <f t="shared" si="73"/>
        <v>0</v>
      </c>
    </row>
    <row r="183" spans="2:12" x14ac:dyDescent="0.25">
      <c r="B183" s="43">
        <f t="shared" si="66"/>
        <v>176</v>
      </c>
      <c r="C183" s="35"/>
      <c r="D183" s="35">
        <v>223</v>
      </c>
      <c r="E183" s="35"/>
      <c r="F183" s="35"/>
      <c r="G183" s="9" t="s">
        <v>41</v>
      </c>
      <c r="H183" s="10">
        <f>H184</f>
        <v>7000</v>
      </c>
      <c r="I183" s="10">
        <f t="shared" si="73"/>
        <v>5000</v>
      </c>
      <c r="J183" s="10">
        <f t="shared" si="73"/>
        <v>5000</v>
      </c>
      <c r="K183" s="10">
        <f t="shared" si="73"/>
        <v>20800</v>
      </c>
      <c r="L183" s="10">
        <f t="shared" si="73"/>
        <v>0</v>
      </c>
    </row>
    <row r="184" spans="2:12" ht="15.75" thickBot="1" x14ac:dyDescent="0.3">
      <c r="B184" s="43">
        <f t="shared" si="66"/>
        <v>177</v>
      </c>
      <c r="C184" s="36"/>
      <c r="D184" s="36"/>
      <c r="E184" s="36">
        <v>223001</v>
      </c>
      <c r="F184" s="36"/>
      <c r="G184" s="12" t="s">
        <v>42</v>
      </c>
      <c r="H184" s="13">
        <v>7000</v>
      </c>
      <c r="I184" s="14">
        <v>5000</v>
      </c>
      <c r="J184" s="13">
        <v>5000</v>
      </c>
      <c r="K184" s="13">
        <v>20800</v>
      </c>
      <c r="L184" s="13">
        <v>0</v>
      </c>
    </row>
    <row r="185" spans="2:12" ht="15.75" thickBot="1" x14ac:dyDescent="0.3">
      <c r="B185" s="43">
        <f t="shared" si="66"/>
        <v>178</v>
      </c>
      <c r="C185" s="32">
        <v>3</v>
      </c>
      <c r="D185" s="32"/>
      <c r="E185" s="32"/>
      <c r="F185" s="32"/>
      <c r="G185" s="3" t="s">
        <v>99</v>
      </c>
      <c r="H185" s="4">
        <f>H186+H189</f>
        <v>19000</v>
      </c>
      <c r="I185" s="4">
        <f t="shared" ref="I185:L185" si="74">I186+I189</f>
        <v>20500</v>
      </c>
      <c r="J185" s="4">
        <f t="shared" si="74"/>
        <v>20500</v>
      </c>
      <c r="K185" s="4">
        <f t="shared" si="74"/>
        <v>19854.96</v>
      </c>
      <c r="L185" s="4">
        <f t="shared" si="74"/>
        <v>19969</v>
      </c>
    </row>
    <row r="186" spans="2:12" x14ac:dyDescent="0.25">
      <c r="B186" s="43">
        <f t="shared" si="66"/>
        <v>179</v>
      </c>
      <c r="C186" s="33">
        <v>220</v>
      </c>
      <c r="D186" s="33"/>
      <c r="E186" s="33"/>
      <c r="F186" s="33"/>
      <c r="G186" s="5" t="s">
        <v>35</v>
      </c>
      <c r="H186" s="6">
        <f>H187</f>
        <v>19000</v>
      </c>
      <c r="I186" s="6">
        <f t="shared" ref="I186:L187" si="75">I187</f>
        <v>20500</v>
      </c>
      <c r="J186" s="6">
        <f t="shared" si="75"/>
        <v>20500</v>
      </c>
      <c r="K186" s="6">
        <f t="shared" si="75"/>
        <v>17203</v>
      </c>
      <c r="L186" s="6">
        <f t="shared" si="75"/>
        <v>19969</v>
      </c>
    </row>
    <row r="187" spans="2:12" x14ac:dyDescent="0.25">
      <c r="B187" s="43">
        <f t="shared" si="66"/>
        <v>180</v>
      </c>
      <c r="C187" s="34"/>
      <c r="D187" s="34">
        <v>223</v>
      </c>
      <c r="E187" s="34"/>
      <c r="F187" s="34"/>
      <c r="G187" s="7" t="s">
        <v>41</v>
      </c>
      <c r="H187" s="8">
        <f>H188</f>
        <v>19000</v>
      </c>
      <c r="I187" s="8">
        <f t="shared" si="75"/>
        <v>20500</v>
      </c>
      <c r="J187" s="8">
        <f t="shared" si="75"/>
        <v>20500</v>
      </c>
      <c r="K187" s="8">
        <f t="shared" si="75"/>
        <v>17203</v>
      </c>
      <c r="L187" s="8">
        <f t="shared" si="75"/>
        <v>19969</v>
      </c>
    </row>
    <row r="188" spans="2:12" x14ac:dyDescent="0.25">
      <c r="B188" s="43">
        <f t="shared" si="66"/>
        <v>181</v>
      </c>
      <c r="C188" s="35"/>
      <c r="D188" s="35"/>
      <c r="E188" s="35">
        <v>223002</v>
      </c>
      <c r="F188" s="35"/>
      <c r="G188" s="9" t="s">
        <v>58</v>
      </c>
      <c r="H188" s="10">
        <v>19000</v>
      </c>
      <c r="I188" s="10">
        <v>20500</v>
      </c>
      <c r="J188" s="10">
        <v>20500</v>
      </c>
      <c r="K188" s="10">
        <f>19657-2454</f>
        <v>17203</v>
      </c>
      <c r="L188" s="10">
        <v>19969</v>
      </c>
    </row>
    <row r="189" spans="2:12" x14ac:dyDescent="0.25">
      <c r="B189" s="43">
        <f t="shared" si="66"/>
        <v>182</v>
      </c>
      <c r="C189" s="33">
        <v>290</v>
      </c>
      <c r="D189" s="33"/>
      <c r="E189" s="33"/>
      <c r="F189" s="33"/>
      <c r="G189" s="5" t="s">
        <v>49</v>
      </c>
      <c r="H189" s="6">
        <f>H190</f>
        <v>0</v>
      </c>
      <c r="I189" s="6">
        <f t="shared" ref="I189:L190" si="76">I190</f>
        <v>0</v>
      </c>
      <c r="J189" s="6">
        <f t="shared" si="76"/>
        <v>0</v>
      </c>
      <c r="K189" s="6">
        <f t="shared" si="76"/>
        <v>2651.96</v>
      </c>
      <c r="L189" s="6">
        <f t="shared" si="76"/>
        <v>0</v>
      </c>
    </row>
    <row r="190" spans="2:12" x14ac:dyDescent="0.25">
      <c r="B190" s="43">
        <f t="shared" si="66"/>
        <v>183</v>
      </c>
      <c r="C190" s="34"/>
      <c r="D190" s="34">
        <v>292</v>
      </c>
      <c r="E190" s="34"/>
      <c r="F190" s="34"/>
      <c r="G190" s="7" t="s">
        <v>50</v>
      </c>
      <c r="H190" s="8">
        <f>H191</f>
        <v>0</v>
      </c>
      <c r="I190" s="8">
        <f t="shared" si="76"/>
        <v>0</v>
      </c>
      <c r="J190" s="8">
        <f t="shared" si="76"/>
        <v>0</v>
      </c>
      <c r="K190" s="8">
        <f t="shared" si="76"/>
        <v>2651.96</v>
      </c>
      <c r="L190" s="8">
        <f t="shared" si="76"/>
        <v>0</v>
      </c>
    </row>
    <row r="191" spans="2:12" ht="15.75" thickBot="1" x14ac:dyDescent="0.3">
      <c r="B191" s="43">
        <f t="shared" si="66"/>
        <v>184</v>
      </c>
      <c r="C191" s="35"/>
      <c r="D191" s="35"/>
      <c r="E191" s="35">
        <v>292027</v>
      </c>
      <c r="F191" s="35"/>
      <c r="G191" s="9" t="s">
        <v>56</v>
      </c>
      <c r="H191" s="10">
        <v>0</v>
      </c>
      <c r="I191" s="10">
        <v>0</v>
      </c>
      <c r="J191" s="10"/>
      <c r="K191" s="10">
        <v>2651.96</v>
      </c>
      <c r="L191" s="10">
        <v>0</v>
      </c>
    </row>
    <row r="192" spans="2:12" ht="15.75" thickBot="1" x14ac:dyDescent="0.3">
      <c r="B192" s="43">
        <f t="shared" si="66"/>
        <v>185</v>
      </c>
      <c r="C192" s="32">
        <v>4</v>
      </c>
      <c r="D192" s="32"/>
      <c r="E192" s="32"/>
      <c r="F192" s="32"/>
      <c r="G192" s="3" t="s">
        <v>100</v>
      </c>
      <c r="H192" s="4">
        <f>H193+H200+H204+H208+H212+H216+H220+H224+H228+H232+H237+H241+H245+H249+H253+H257+H261+H265</f>
        <v>134200</v>
      </c>
      <c r="I192" s="4">
        <f>I193+I200+I204+I208+I212+I216+I220+I224+I228+I232+I237+I241+I245+I249+I253+I257+I261+I265</f>
        <v>134650</v>
      </c>
      <c r="J192" s="4">
        <f>J193+J200+J204+J208+J212+J216+J220+J224+J228+J232+J237+J241+J245+J249+J253+J257+J261+J265</f>
        <v>135000</v>
      </c>
      <c r="K192" s="4">
        <f>K193+K200+K204+K208+K212+K216+K220+K224+K228+K232+K237+K241+K245+K249+K253+K257+K261+K265</f>
        <v>135683.26999999999</v>
      </c>
      <c r="L192" s="4">
        <f>L193+L200+L204+L208+L212+L216+L220+L224+L228+L232+L237+L241+L245+L249+L253+L257+L261+L265</f>
        <v>145314</v>
      </c>
    </row>
    <row r="193" spans="2:12" x14ac:dyDescent="0.25">
      <c r="B193" s="43">
        <f t="shared" si="66"/>
        <v>186</v>
      </c>
      <c r="C193" s="33" t="s">
        <v>60</v>
      </c>
      <c r="D193" s="33"/>
      <c r="E193" s="33"/>
      <c r="F193" s="33"/>
      <c r="G193" s="5"/>
      <c r="H193" s="6">
        <f>H194+H197</f>
        <v>0</v>
      </c>
      <c r="I193" s="6">
        <f t="shared" ref="I193:L193" si="77">I197+I194</f>
        <v>0</v>
      </c>
      <c r="J193" s="6">
        <f t="shared" si="77"/>
        <v>0</v>
      </c>
      <c r="K193" s="6">
        <f t="shared" si="77"/>
        <v>1341</v>
      </c>
      <c r="L193" s="6">
        <f t="shared" si="77"/>
        <v>1386</v>
      </c>
    </row>
    <row r="194" spans="2:12" x14ac:dyDescent="0.25">
      <c r="B194" s="43">
        <f t="shared" si="66"/>
        <v>187</v>
      </c>
      <c r="C194" s="34">
        <v>220</v>
      </c>
      <c r="D194" s="34"/>
      <c r="E194" s="34"/>
      <c r="F194" s="34"/>
      <c r="G194" s="7" t="s">
        <v>35</v>
      </c>
      <c r="H194" s="8">
        <f>H195</f>
        <v>0</v>
      </c>
      <c r="I194" s="8">
        <f t="shared" ref="I194:L195" si="78">I195</f>
        <v>0</v>
      </c>
      <c r="J194" s="8">
        <f t="shared" si="78"/>
        <v>0</v>
      </c>
      <c r="K194" s="8">
        <f t="shared" si="78"/>
        <v>550</v>
      </c>
      <c r="L194" s="8">
        <f t="shared" si="78"/>
        <v>562</v>
      </c>
    </row>
    <row r="195" spans="2:12" x14ac:dyDescent="0.25">
      <c r="B195" s="43">
        <f t="shared" si="66"/>
        <v>188</v>
      </c>
      <c r="C195" s="35"/>
      <c r="D195" s="35">
        <v>223</v>
      </c>
      <c r="E195" s="35"/>
      <c r="F195" s="35"/>
      <c r="G195" s="9" t="s">
        <v>41</v>
      </c>
      <c r="H195" s="10">
        <f>H196</f>
        <v>0</v>
      </c>
      <c r="I195" s="10">
        <f t="shared" si="78"/>
        <v>0</v>
      </c>
      <c r="J195" s="10">
        <f t="shared" si="78"/>
        <v>0</v>
      </c>
      <c r="K195" s="10">
        <f t="shared" si="78"/>
        <v>550</v>
      </c>
      <c r="L195" s="10">
        <f t="shared" si="78"/>
        <v>562</v>
      </c>
    </row>
    <row r="196" spans="2:12" x14ac:dyDescent="0.25">
      <c r="B196" s="43">
        <f t="shared" si="66"/>
        <v>189</v>
      </c>
      <c r="C196" s="36"/>
      <c r="D196" s="36"/>
      <c r="E196" s="36">
        <v>223003</v>
      </c>
      <c r="F196" s="36"/>
      <c r="G196" s="12" t="s">
        <v>101</v>
      </c>
      <c r="H196" s="13">
        <v>0</v>
      </c>
      <c r="I196" s="13">
        <v>0</v>
      </c>
      <c r="J196" s="13"/>
      <c r="K196" s="13">
        <v>550</v>
      </c>
      <c r="L196" s="13">
        <v>562</v>
      </c>
    </row>
    <row r="197" spans="2:12" x14ac:dyDescent="0.25">
      <c r="B197" s="43">
        <f t="shared" si="66"/>
        <v>190</v>
      </c>
      <c r="C197" s="34">
        <v>290</v>
      </c>
      <c r="D197" s="34"/>
      <c r="E197" s="34"/>
      <c r="F197" s="34"/>
      <c r="G197" s="7" t="s">
        <v>49</v>
      </c>
      <c r="H197" s="8">
        <f>H198</f>
        <v>0</v>
      </c>
      <c r="I197" s="8">
        <f t="shared" ref="I197:L198" si="79">I198</f>
        <v>0</v>
      </c>
      <c r="J197" s="8">
        <f t="shared" si="79"/>
        <v>0</v>
      </c>
      <c r="K197" s="8">
        <f t="shared" si="79"/>
        <v>791</v>
      </c>
      <c r="L197" s="8">
        <f t="shared" si="79"/>
        <v>824</v>
      </c>
    </row>
    <row r="198" spans="2:12" x14ac:dyDescent="0.25">
      <c r="B198" s="43">
        <f t="shared" si="66"/>
        <v>191</v>
      </c>
      <c r="C198" s="35"/>
      <c r="D198" s="35">
        <v>292</v>
      </c>
      <c r="E198" s="35"/>
      <c r="F198" s="35"/>
      <c r="G198" s="9" t="s">
        <v>50</v>
      </c>
      <c r="H198" s="10">
        <f>H199</f>
        <v>0</v>
      </c>
      <c r="I198" s="10">
        <f t="shared" si="79"/>
        <v>0</v>
      </c>
      <c r="J198" s="10">
        <f t="shared" si="79"/>
        <v>0</v>
      </c>
      <c r="K198" s="10">
        <f t="shared" si="79"/>
        <v>791</v>
      </c>
      <c r="L198" s="10">
        <f t="shared" si="79"/>
        <v>824</v>
      </c>
    </row>
    <row r="199" spans="2:12" x14ac:dyDescent="0.25">
      <c r="B199" s="43">
        <f t="shared" si="66"/>
        <v>192</v>
      </c>
      <c r="C199" s="36"/>
      <c r="D199" s="36"/>
      <c r="E199" s="36">
        <v>292027</v>
      </c>
      <c r="F199" s="36"/>
      <c r="G199" s="12" t="s">
        <v>56</v>
      </c>
      <c r="H199" s="13">
        <v>0</v>
      </c>
      <c r="I199" s="13">
        <v>0</v>
      </c>
      <c r="J199" s="13"/>
      <c r="K199" s="13">
        <v>791</v>
      </c>
      <c r="L199" s="13">
        <v>824</v>
      </c>
    </row>
    <row r="200" spans="2:12" x14ac:dyDescent="0.25">
      <c r="B200" s="43">
        <f t="shared" si="66"/>
        <v>193</v>
      </c>
      <c r="C200" s="33" t="s">
        <v>102</v>
      </c>
      <c r="D200" s="33"/>
      <c r="E200" s="33"/>
      <c r="F200" s="33"/>
      <c r="G200" s="5" t="s">
        <v>103</v>
      </c>
      <c r="H200" s="6">
        <f>H201</f>
        <v>6700</v>
      </c>
      <c r="I200" s="6">
        <f t="shared" ref="I200:L202" si="80">I201</f>
        <v>6690</v>
      </c>
      <c r="J200" s="6">
        <f t="shared" si="80"/>
        <v>6690</v>
      </c>
      <c r="K200" s="6">
        <f t="shared" si="80"/>
        <v>6780</v>
      </c>
      <c r="L200" s="6">
        <f t="shared" si="80"/>
        <v>7298</v>
      </c>
    </row>
    <row r="201" spans="2:12" x14ac:dyDescent="0.25">
      <c r="B201" s="43">
        <f t="shared" si="66"/>
        <v>194</v>
      </c>
      <c r="C201" s="34">
        <v>220</v>
      </c>
      <c r="D201" s="34"/>
      <c r="E201" s="34"/>
      <c r="F201" s="34"/>
      <c r="G201" s="7" t="s">
        <v>35</v>
      </c>
      <c r="H201" s="8">
        <f>H202</f>
        <v>6700</v>
      </c>
      <c r="I201" s="8">
        <f t="shared" si="80"/>
        <v>6690</v>
      </c>
      <c r="J201" s="8">
        <f t="shared" si="80"/>
        <v>6690</v>
      </c>
      <c r="K201" s="8">
        <f t="shared" si="80"/>
        <v>6780</v>
      </c>
      <c r="L201" s="8">
        <f t="shared" si="80"/>
        <v>7298</v>
      </c>
    </row>
    <row r="202" spans="2:12" x14ac:dyDescent="0.25">
      <c r="B202" s="43">
        <f t="shared" ref="B202:B232" si="81">B201+1</f>
        <v>195</v>
      </c>
      <c r="C202" s="35"/>
      <c r="D202" s="35">
        <v>223</v>
      </c>
      <c r="E202" s="35"/>
      <c r="F202" s="35"/>
      <c r="G202" s="9" t="s">
        <v>41</v>
      </c>
      <c r="H202" s="10">
        <f>H203</f>
        <v>6700</v>
      </c>
      <c r="I202" s="10">
        <f t="shared" si="80"/>
        <v>6690</v>
      </c>
      <c r="J202" s="10">
        <f t="shared" si="80"/>
        <v>6690</v>
      </c>
      <c r="K202" s="10">
        <f t="shared" si="80"/>
        <v>6780</v>
      </c>
      <c r="L202" s="10">
        <f t="shared" si="80"/>
        <v>7298</v>
      </c>
    </row>
    <row r="203" spans="2:12" x14ac:dyDescent="0.25">
      <c r="B203" s="43">
        <f t="shared" si="81"/>
        <v>196</v>
      </c>
      <c r="C203" s="36"/>
      <c r="D203" s="36"/>
      <c r="E203" s="36">
        <v>223002</v>
      </c>
      <c r="F203" s="36"/>
      <c r="G203" s="12" t="s">
        <v>58</v>
      </c>
      <c r="H203" s="13">
        <v>6700</v>
      </c>
      <c r="I203" s="13">
        <v>6690</v>
      </c>
      <c r="J203" s="13">
        <v>6690</v>
      </c>
      <c r="K203" s="13">
        <v>6780</v>
      </c>
      <c r="L203" s="13">
        <v>7298</v>
      </c>
    </row>
    <row r="204" spans="2:12" x14ac:dyDescent="0.25">
      <c r="B204" s="43">
        <f t="shared" si="81"/>
        <v>197</v>
      </c>
      <c r="C204" s="33" t="s">
        <v>104</v>
      </c>
      <c r="D204" s="33"/>
      <c r="E204" s="33"/>
      <c r="F204" s="33"/>
      <c r="G204" s="5" t="s">
        <v>105</v>
      </c>
      <c r="H204" s="6">
        <f>H205</f>
        <v>12000</v>
      </c>
      <c r="I204" s="6">
        <f t="shared" ref="I204:L206" si="82">I205</f>
        <v>8400</v>
      </c>
      <c r="J204" s="6">
        <f t="shared" si="82"/>
        <v>8400</v>
      </c>
      <c r="K204" s="6">
        <f t="shared" si="82"/>
        <v>8075</v>
      </c>
      <c r="L204" s="6">
        <f t="shared" si="82"/>
        <v>8646</v>
      </c>
    </row>
    <row r="205" spans="2:12" x14ac:dyDescent="0.25">
      <c r="B205" s="43">
        <f t="shared" si="81"/>
        <v>198</v>
      </c>
      <c r="C205" s="34">
        <v>220</v>
      </c>
      <c r="D205" s="34"/>
      <c r="E205" s="34"/>
      <c r="F205" s="34"/>
      <c r="G205" s="7" t="s">
        <v>35</v>
      </c>
      <c r="H205" s="8">
        <f>H206</f>
        <v>12000</v>
      </c>
      <c r="I205" s="8">
        <f t="shared" si="82"/>
        <v>8400</v>
      </c>
      <c r="J205" s="8">
        <f t="shared" si="82"/>
        <v>8400</v>
      </c>
      <c r="K205" s="8">
        <f t="shared" si="82"/>
        <v>8075</v>
      </c>
      <c r="L205" s="8">
        <f t="shared" si="82"/>
        <v>8646</v>
      </c>
    </row>
    <row r="206" spans="2:12" x14ac:dyDescent="0.25">
      <c r="B206" s="43">
        <f t="shared" si="81"/>
        <v>199</v>
      </c>
      <c r="C206" s="35"/>
      <c r="D206" s="35">
        <v>223</v>
      </c>
      <c r="E206" s="35"/>
      <c r="F206" s="35"/>
      <c r="G206" s="9" t="s">
        <v>41</v>
      </c>
      <c r="H206" s="10">
        <f>H207</f>
        <v>12000</v>
      </c>
      <c r="I206" s="10">
        <f t="shared" si="82"/>
        <v>8400</v>
      </c>
      <c r="J206" s="10">
        <f t="shared" si="82"/>
        <v>8400</v>
      </c>
      <c r="K206" s="10">
        <f t="shared" si="82"/>
        <v>8075</v>
      </c>
      <c r="L206" s="10">
        <f t="shared" si="82"/>
        <v>8646</v>
      </c>
    </row>
    <row r="207" spans="2:12" x14ac:dyDescent="0.25">
      <c r="B207" s="43">
        <f t="shared" si="81"/>
        <v>200</v>
      </c>
      <c r="C207" s="36"/>
      <c r="D207" s="36"/>
      <c r="E207" s="36">
        <v>223002</v>
      </c>
      <c r="F207" s="36"/>
      <c r="G207" s="12" t="s">
        <v>58</v>
      </c>
      <c r="H207" s="13">
        <v>12000</v>
      </c>
      <c r="I207" s="13">
        <v>8400</v>
      </c>
      <c r="J207" s="13">
        <v>8400</v>
      </c>
      <c r="K207" s="13">
        <v>8075</v>
      </c>
      <c r="L207" s="13">
        <v>8646</v>
      </c>
    </row>
    <row r="208" spans="2:12" x14ac:dyDescent="0.25">
      <c r="B208" s="43">
        <f t="shared" si="81"/>
        <v>201</v>
      </c>
      <c r="C208" s="33" t="s">
        <v>106</v>
      </c>
      <c r="D208" s="33"/>
      <c r="E208" s="33"/>
      <c r="F208" s="33"/>
      <c r="G208" s="5" t="s">
        <v>107</v>
      </c>
      <c r="H208" s="6">
        <f>H209</f>
        <v>6500</v>
      </c>
      <c r="I208" s="6">
        <f t="shared" ref="I208:L210" si="83">I209</f>
        <v>6690</v>
      </c>
      <c r="J208" s="6">
        <f t="shared" si="83"/>
        <v>6690</v>
      </c>
      <c r="K208" s="6">
        <f t="shared" si="83"/>
        <v>6343</v>
      </c>
      <c r="L208" s="6">
        <f t="shared" si="83"/>
        <v>7918</v>
      </c>
    </row>
    <row r="209" spans="2:12" x14ac:dyDescent="0.25">
      <c r="B209" s="43">
        <f t="shared" si="81"/>
        <v>202</v>
      </c>
      <c r="C209" s="34">
        <v>220</v>
      </c>
      <c r="D209" s="34"/>
      <c r="E209" s="34"/>
      <c r="F209" s="34"/>
      <c r="G209" s="7" t="s">
        <v>35</v>
      </c>
      <c r="H209" s="8">
        <f>H210</f>
        <v>6500</v>
      </c>
      <c r="I209" s="8">
        <f t="shared" si="83"/>
        <v>6690</v>
      </c>
      <c r="J209" s="8">
        <f t="shared" si="83"/>
        <v>6690</v>
      </c>
      <c r="K209" s="8">
        <f t="shared" si="83"/>
        <v>6343</v>
      </c>
      <c r="L209" s="8">
        <f t="shared" si="83"/>
        <v>7918</v>
      </c>
    </row>
    <row r="210" spans="2:12" x14ac:dyDescent="0.25">
      <c r="B210" s="43">
        <f t="shared" si="81"/>
        <v>203</v>
      </c>
      <c r="C210" s="35"/>
      <c r="D210" s="35">
        <v>223</v>
      </c>
      <c r="E210" s="35"/>
      <c r="F210" s="35"/>
      <c r="G210" s="9" t="s">
        <v>41</v>
      </c>
      <c r="H210" s="10">
        <f>H211</f>
        <v>6500</v>
      </c>
      <c r="I210" s="10">
        <f t="shared" si="83"/>
        <v>6690</v>
      </c>
      <c r="J210" s="10">
        <f t="shared" si="83"/>
        <v>6690</v>
      </c>
      <c r="K210" s="10">
        <f t="shared" si="83"/>
        <v>6343</v>
      </c>
      <c r="L210" s="10">
        <f t="shared" si="83"/>
        <v>7918</v>
      </c>
    </row>
    <row r="211" spans="2:12" x14ac:dyDescent="0.25">
      <c r="B211" s="43">
        <f t="shared" si="81"/>
        <v>204</v>
      </c>
      <c r="C211" s="36"/>
      <c r="D211" s="36"/>
      <c r="E211" s="36">
        <v>223002</v>
      </c>
      <c r="F211" s="36"/>
      <c r="G211" s="12" t="s">
        <v>58</v>
      </c>
      <c r="H211" s="13">
        <v>6500</v>
      </c>
      <c r="I211" s="13">
        <v>6690</v>
      </c>
      <c r="J211" s="13">
        <v>6690</v>
      </c>
      <c r="K211" s="13">
        <v>6343</v>
      </c>
      <c r="L211" s="13">
        <v>7918</v>
      </c>
    </row>
    <row r="212" spans="2:12" x14ac:dyDescent="0.25">
      <c r="B212" s="43">
        <f t="shared" si="81"/>
        <v>205</v>
      </c>
      <c r="C212" s="33" t="s">
        <v>108</v>
      </c>
      <c r="D212" s="33"/>
      <c r="E212" s="33"/>
      <c r="F212" s="33"/>
      <c r="G212" s="5" t="s">
        <v>109</v>
      </c>
      <c r="H212" s="6">
        <f>H213</f>
        <v>8500</v>
      </c>
      <c r="I212" s="6">
        <f t="shared" ref="I212:L214" si="84">I213</f>
        <v>8400</v>
      </c>
      <c r="J212" s="6">
        <f t="shared" si="84"/>
        <v>8400</v>
      </c>
      <c r="K212" s="6">
        <f t="shared" si="84"/>
        <v>9045</v>
      </c>
      <c r="L212" s="6">
        <f t="shared" si="84"/>
        <v>9468</v>
      </c>
    </row>
    <row r="213" spans="2:12" x14ac:dyDescent="0.25">
      <c r="B213" s="43">
        <f t="shared" si="81"/>
        <v>206</v>
      </c>
      <c r="C213" s="34">
        <v>220</v>
      </c>
      <c r="D213" s="34"/>
      <c r="E213" s="34"/>
      <c r="F213" s="34"/>
      <c r="G213" s="7" t="s">
        <v>35</v>
      </c>
      <c r="H213" s="8">
        <f>H214</f>
        <v>8500</v>
      </c>
      <c r="I213" s="8">
        <f t="shared" si="84"/>
        <v>8400</v>
      </c>
      <c r="J213" s="8">
        <f t="shared" si="84"/>
        <v>8400</v>
      </c>
      <c r="K213" s="8">
        <f t="shared" si="84"/>
        <v>9045</v>
      </c>
      <c r="L213" s="8">
        <f t="shared" si="84"/>
        <v>9468</v>
      </c>
    </row>
    <row r="214" spans="2:12" x14ac:dyDescent="0.25">
      <c r="B214" s="43">
        <f t="shared" si="81"/>
        <v>207</v>
      </c>
      <c r="C214" s="35"/>
      <c r="D214" s="35">
        <v>223</v>
      </c>
      <c r="E214" s="35"/>
      <c r="F214" s="35"/>
      <c r="G214" s="9" t="s">
        <v>41</v>
      </c>
      <c r="H214" s="10">
        <f>H215</f>
        <v>8500</v>
      </c>
      <c r="I214" s="10">
        <f t="shared" si="84"/>
        <v>8400</v>
      </c>
      <c r="J214" s="10">
        <f t="shared" si="84"/>
        <v>8400</v>
      </c>
      <c r="K214" s="10">
        <f t="shared" si="84"/>
        <v>9045</v>
      </c>
      <c r="L214" s="10">
        <f t="shared" si="84"/>
        <v>9468</v>
      </c>
    </row>
    <row r="215" spans="2:12" x14ac:dyDescent="0.25">
      <c r="B215" s="43">
        <f t="shared" si="81"/>
        <v>208</v>
      </c>
      <c r="C215" s="36"/>
      <c r="D215" s="36"/>
      <c r="E215" s="36">
        <v>223002</v>
      </c>
      <c r="F215" s="36"/>
      <c r="G215" s="12" t="s">
        <v>58</v>
      </c>
      <c r="H215" s="13">
        <v>8500</v>
      </c>
      <c r="I215" s="13">
        <v>8400</v>
      </c>
      <c r="J215" s="13">
        <v>8400</v>
      </c>
      <c r="K215" s="13">
        <v>9045</v>
      </c>
      <c r="L215" s="13">
        <v>9468</v>
      </c>
    </row>
    <row r="216" spans="2:12" x14ac:dyDescent="0.25">
      <c r="B216" s="43">
        <f t="shared" si="81"/>
        <v>209</v>
      </c>
      <c r="C216" s="33" t="s">
        <v>110</v>
      </c>
      <c r="D216" s="33"/>
      <c r="E216" s="33"/>
      <c r="F216" s="33"/>
      <c r="G216" s="5" t="s">
        <v>111</v>
      </c>
      <c r="H216" s="6">
        <f>H217</f>
        <v>7500</v>
      </c>
      <c r="I216" s="6">
        <f t="shared" ref="I216:L218" si="85">I217</f>
        <v>8120</v>
      </c>
      <c r="J216" s="6">
        <f t="shared" si="85"/>
        <v>8120</v>
      </c>
      <c r="K216" s="6">
        <f t="shared" si="85"/>
        <v>7615</v>
      </c>
      <c r="L216" s="6">
        <f t="shared" si="85"/>
        <v>7560</v>
      </c>
    </row>
    <row r="217" spans="2:12" x14ac:dyDescent="0.25">
      <c r="B217" s="43">
        <f t="shared" si="81"/>
        <v>210</v>
      </c>
      <c r="C217" s="34">
        <v>220</v>
      </c>
      <c r="D217" s="34"/>
      <c r="E217" s="34"/>
      <c r="F217" s="34"/>
      <c r="G217" s="7" t="s">
        <v>35</v>
      </c>
      <c r="H217" s="8">
        <f>H218</f>
        <v>7500</v>
      </c>
      <c r="I217" s="8">
        <f t="shared" si="85"/>
        <v>8120</v>
      </c>
      <c r="J217" s="8">
        <f t="shared" si="85"/>
        <v>8120</v>
      </c>
      <c r="K217" s="8">
        <f t="shared" si="85"/>
        <v>7615</v>
      </c>
      <c r="L217" s="8">
        <f t="shared" si="85"/>
        <v>7560</v>
      </c>
    </row>
    <row r="218" spans="2:12" x14ac:dyDescent="0.25">
      <c r="B218" s="43">
        <f t="shared" si="81"/>
        <v>211</v>
      </c>
      <c r="C218" s="35"/>
      <c r="D218" s="35">
        <v>223</v>
      </c>
      <c r="E218" s="35"/>
      <c r="F218" s="35"/>
      <c r="G218" s="9" t="s">
        <v>41</v>
      </c>
      <c r="H218" s="10">
        <f>H219</f>
        <v>7500</v>
      </c>
      <c r="I218" s="10">
        <f t="shared" si="85"/>
        <v>8120</v>
      </c>
      <c r="J218" s="10">
        <f t="shared" si="85"/>
        <v>8120</v>
      </c>
      <c r="K218" s="10">
        <f t="shared" si="85"/>
        <v>7615</v>
      </c>
      <c r="L218" s="10">
        <f t="shared" si="85"/>
        <v>7560</v>
      </c>
    </row>
    <row r="219" spans="2:12" x14ac:dyDescent="0.25">
      <c r="B219" s="43">
        <f t="shared" si="81"/>
        <v>212</v>
      </c>
      <c r="C219" s="36"/>
      <c r="D219" s="36"/>
      <c r="E219" s="36">
        <v>223002</v>
      </c>
      <c r="F219" s="36"/>
      <c r="G219" s="12" t="s">
        <v>58</v>
      </c>
      <c r="H219" s="13">
        <v>7500</v>
      </c>
      <c r="I219" s="13">
        <v>8120</v>
      </c>
      <c r="J219" s="13">
        <v>8120</v>
      </c>
      <c r="K219" s="13">
        <v>7615</v>
      </c>
      <c r="L219" s="13">
        <v>7560</v>
      </c>
    </row>
    <row r="220" spans="2:12" x14ac:dyDescent="0.25">
      <c r="B220" s="43">
        <f t="shared" si="81"/>
        <v>213</v>
      </c>
      <c r="C220" s="33" t="s">
        <v>112</v>
      </c>
      <c r="D220" s="33"/>
      <c r="E220" s="33"/>
      <c r="F220" s="33"/>
      <c r="G220" s="5" t="s">
        <v>113</v>
      </c>
      <c r="H220" s="6">
        <f>H221</f>
        <v>12000</v>
      </c>
      <c r="I220" s="6">
        <f t="shared" ref="I220:L222" si="86">I221</f>
        <v>12530</v>
      </c>
      <c r="J220" s="6">
        <f t="shared" si="86"/>
        <v>12530</v>
      </c>
      <c r="K220" s="6">
        <f t="shared" si="86"/>
        <v>12044</v>
      </c>
      <c r="L220" s="6">
        <f t="shared" si="86"/>
        <v>13383</v>
      </c>
    </row>
    <row r="221" spans="2:12" x14ac:dyDescent="0.25">
      <c r="B221" s="43">
        <f t="shared" si="81"/>
        <v>214</v>
      </c>
      <c r="C221" s="34">
        <v>220</v>
      </c>
      <c r="D221" s="34"/>
      <c r="E221" s="34"/>
      <c r="F221" s="34"/>
      <c r="G221" s="7" t="s">
        <v>35</v>
      </c>
      <c r="H221" s="8">
        <f>H222</f>
        <v>12000</v>
      </c>
      <c r="I221" s="8">
        <f t="shared" si="86"/>
        <v>12530</v>
      </c>
      <c r="J221" s="8">
        <f t="shared" si="86"/>
        <v>12530</v>
      </c>
      <c r="K221" s="8">
        <f t="shared" si="86"/>
        <v>12044</v>
      </c>
      <c r="L221" s="8">
        <f t="shared" si="86"/>
        <v>13383</v>
      </c>
    </row>
    <row r="222" spans="2:12" x14ac:dyDescent="0.25">
      <c r="B222" s="43">
        <f t="shared" si="81"/>
        <v>215</v>
      </c>
      <c r="C222" s="35"/>
      <c r="D222" s="35">
        <v>223</v>
      </c>
      <c r="E222" s="35"/>
      <c r="F222" s="35"/>
      <c r="G222" s="9" t="s">
        <v>41</v>
      </c>
      <c r="H222" s="10">
        <f>H223</f>
        <v>12000</v>
      </c>
      <c r="I222" s="10">
        <f t="shared" si="86"/>
        <v>12530</v>
      </c>
      <c r="J222" s="10">
        <f t="shared" si="86"/>
        <v>12530</v>
      </c>
      <c r="K222" s="10">
        <f t="shared" si="86"/>
        <v>12044</v>
      </c>
      <c r="L222" s="10">
        <f t="shared" si="86"/>
        <v>13383</v>
      </c>
    </row>
    <row r="223" spans="2:12" x14ac:dyDescent="0.25">
      <c r="B223" s="43">
        <f t="shared" si="81"/>
        <v>216</v>
      </c>
      <c r="C223" s="36"/>
      <c r="D223" s="36"/>
      <c r="E223" s="36">
        <v>223002</v>
      </c>
      <c r="F223" s="36"/>
      <c r="G223" s="12" t="s">
        <v>58</v>
      </c>
      <c r="H223" s="13">
        <v>12000</v>
      </c>
      <c r="I223" s="13">
        <v>12530</v>
      </c>
      <c r="J223" s="13">
        <v>12530</v>
      </c>
      <c r="K223" s="13">
        <v>12044</v>
      </c>
      <c r="L223" s="13">
        <v>13383</v>
      </c>
    </row>
    <row r="224" spans="2:12" x14ac:dyDescent="0.25">
      <c r="B224" s="43">
        <f t="shared" si="81"/>
        <v>217</v>
      </c>
      <c r="C224" s="33" t="s">
        <v>114</v>
      </c>
      <c r="D224" s="33"/>
      <c r="E224" s="33"/>
      <c r="F224" s="33"/>
      <c r="G224" s="5" t="s">
        <v>115</v>
      </c>
      <c r="H224" s="6">
        <f>H225</f>
        <v>14400</v>
      </c>
      <c r="I224" s="6">
        <f t="shared" ref="I224:L226" si="87">I225</f>
        <v>12815</v>
      </c>
      <c r="J224" s="6">
        <f t="shared" si="87"/>
        <v>12815</v>
      </c>
      <c r="K224" s="6">
        <f t="shared" si="87"/>
        <v>13487</v>
      </c>
      <c r="L224" s="6">
        <f t="shared" si="87"/>
        <v>13395</v>
      </c>
    </row>
    <row r="225" spans="2:12" x14ac:dyDescent="0.25">
      <c r="B225" s="43">
        <f t="shared" si="81"/>
        <v>218</v>
      </c>
      <c r="C225" s="34">
        <v>220</v>
      </c>
      <c r="D225" s="34"/>
      <c r="E225" s="34"/>
      <c r="F225" s="34"/>
      <c r="G225" s="7" t="s">
        <v>35</v>
      </c>
      <c r="H225" s="8">
        <f>H226</f>
        <v>14400</v>
      </c>
      <c r="I225" s="8">
        <f t="shared" si="87"/>
        <v>12815</v>
      </c>
      <c r="J225" s="8">
        <f t="shared" si="87"/>
        <v>12815</v>
      </c>
      <c r="K225" s="8">
        <f t="shared" si="87"/>
        <v>13487</v>
      </c>
      <c r="L225" s="8">
        <f t="shared" si="87"/>
        <v>13395</v>
      </c>
    </row>
    <row r="226" spans="2:12" x14ac:dyDescent="0.25">
      <c r="B226" s="43">
        <f t="shared" si="81"/>
        <v>219</v>
      </c>
      <c r="C226" s="35"/>
      <c r="D226" s="35">
        <v>223</v>
      </c>
      <c r="E226" s="35"/>
      <c r="F226" s="35"/>
      <c r="G226" s="9" t="s">
        <v>41</v>
      </c>
      <c r="H226" s="10">
        <f>H227</f>
        <v>14400</v>
      </c>
      <c r="I226" s="10">
        <f t="shared" si="87"/>
        <v>12815</v>
      </c>
      <c r="J226" s="10">
        <f t="shared" si="87"/>
        <v>12815</v>
      </c>
      <c r="K226" s="10">
        <f t="shared" si="87"/>
        <v>13487</v>
      </c>
      <c r="L226" s="10">
        <f t="shared" si="87"/>
        <v>13395</v>
      </c>
    </row>
    <row r="227" spans="2:12" x14ac:dyDescent="0.25">
      <c r="B227" s="43">
        <f t="shared" si="81"/>
        <v>220</v>
      </c>
      <c r="C227" s="36"/>
      <c r="D227" s="36"/>
      <c r="E227" s="36">
        <v>223002</v>
      </c>
      <c r="F227" s="36"/>
      <c r="G227" s="12" t="s">
        <v>58</v>
      </c>
      <c r="H227" s="13">
        <v>14400</v>
      </c>
      <c r="I227" s="13">
        <v>12815</v>
      </c>
      <c r="J227" s="13">
        <v>12815</v>
      </c>
      <c r="K227" s="13">
        <v>13487</v>
      </c>
      <c r="L227" s="13">
        <v>13395</v>
      </c>
    </row>
    <row r="228" spans="2:12" x14ac:dyDescent="0.25">
      <c r="B228" s="43">
        <f t="shared" si="81"/>
        <v>221</v>
      </c>
      <c r="C228" s="33" t="s">
        <v>116</v>
      </c>
      <c r="D228" s="33"/>
      <c r="E228" s="33"/>
      <c r="F228" s="33"/>
      <c r="G228" s="5" t="s">
        <v>117</v>
      </c>
      <c r="H228" s="6">
        <f>H229</f>
        <v>7800</v>
      </c>
      <c r="I228" s="6">
        <f t="shared" ref="I228:L230" si="88">I229</f>
        <v>6980</v>
      </c>
      <c r="J228" s="6">
        <f t="shared" si="88"/>
        <v>6980</v>
      </c>
      <c r="K228" s="6">
        <f t="shared" si="88"/>
        <v>6642.43</v>
      </c>
      <c r="L228" s="6">
        <f t="shared" si="88"/>
        <v>5793</v>
      </c>
    </row>
    <row r="229" spans="2:12" x14ac:dyDescent="0.25">
      <c r="B229" s="43">
        <f t="shared" si="81"/>
        <v>222</v>
      </c>
      <c r="C229" s="34">
        <v>220</v>
      </c>
      <c r="D229" s="34"/>
      <c r="E229" s="34"/>
      <c r="F229" s="34"/>
      <c r="G229" s="7" t="s">
        <v>35</v>
      </c>
      <c r="H229" s="8">
        <f>H230</f>
        <v>7800</v>
      </c>
      <c r="I229" s="8">
        <f t="shared" si="88"/>
        <v>6980</v>
      </c>
      <c r="J229" s="8">
        <f t="shared" si="88"/>
        <v>6980</v>
      </c>
      <c r="K229" s="8">
        <f t="shared" si="88"/>
        <v>6642.43</v>
      </c>
      <c r="L229" s="8">
        <f t="shared" si="88"/>
        <v>5793</v>
      </c>
    </row>
    <row r="230" spans="2:12" x14ac:dyDescent="0.25">
      <c r="B230" s="43">
        <f t="shared" si="81"/>
        <v>223</v>
      </c>
      <c r="C230" s="35"/>
      <c r="D230" s="35">
        <v>223</v>
      </c>
      <c r="E230" s="35"/>
      <c r="F230" s="35"/>
      <c r="G230" s="9" t="s">
        <v>41</v>
      </c>
      <c r="H230" s="10">
        <f>H231</f>
        <v>7800</v>
      </c>
      <c r="I230" s="10">
        <f t="shared" si="88"/>
        <v>6980</v>
      </c>
      <c r="J230" s="10">
        <f t="shared" si="88"/>
        <v>6980</v>
      </c>
      <c r="K230" s="10">
        <f t="shared" si="88"/>
        <v>6642.43</v>
      </c>
      <c r="L230" s="10">
        <f t="shared" si="88"/>
        <v>5793</v>
      </c>
    </row>
    <row r="231" spans="2:12" x14ac:dyDescent="0.25">
      <c r="B231" s="43">
        <f t="shared" si="81"/>
        <v>224</v>
      </c>
      <c r="C231" s="36"/>
      <c r="D231" s="36"/>
      <c r="E231" s="36">
        <v>223002</v>
      </c>
      <c r="F231" s="36"/>
      <c r="G231" s="12" t="s">
        <v>58</v>
      </c>
      <c r="H231" s="13">
        <v>7800</v>
      </c>
      <c r="I231" s="13">
        <v>6980</v>
      </c>
      <c r="J231" s="13">
        <v>6980</v>
      </c>
      <c r="K231" s="13">
        <v>6642.43</v>
      </c>
      <c r="L231" s="13">
        <v>5793</v>
      </c>
    </row>
    <row r="232" spans="2:12" x14ac:dyDescent="0.25">
      <c r="B232" s="43">
        <f t="shared" si="81"/>
        <v>225</v>
      </c>
      <c r="C232" s="33" t="s">
        <v>118</v>
      </c>
      <c r="D232" s="33"/>
      <c r="E232" s="33"/>
      <c r="F232" s="33"/>
      <c r="G232" s="5" t="s">
        <v>119</v>
      </c>
      <c r="H232" s="6">
        <f>H233</f>
        <v>9700</v>
      </c>
      <c r="I232" s="6">
        <f t="shared" ref="I232:L233" si="89">I233</f>
        <v>10530</v>
      </c>
      <c r="J232" s="6">
        <f t="shared" si="89"/>
        <v>10880</v>
      </c>
      <c r="K232" s="6">
        <f t="shared" si="89"/>
        <v>9356.4500000000007</v>
      </c>
      <c r="L232" s="6">
        <f t="shared" si="89"/>
        <v>10393</v>
      </c>
    </row>
    <row r="233" spans="2:12" x14ac:dyDescent="0.25">
      <c r="B233" s="43">
        <f t="shared" ref="B233:B282" si="90">B232+1</f>
        <v>226</v>
      </c>
      <c r="C233" s="34">
        <v>220</v>
      </c>
      <c r="D233" s="34"/>
      <c r="E233" s="34"/>
      <c r="F233" s="34"/>
      <c r="G233" s="7" t="s">
        <v>35</v>
      </c>
      <c r="H233" s="8">
        <f>H234</f>
        <v>9700</v>
      </c>
      <c r="I233" s="8">
        <f t="shared" si="89"/>
        <v>10530</v>
      </c>
      <c r="J233" s="8">
        <f t="shared" si="89"/>
        <v>10880</v>
      </c>
      <c r="K233" s="8">
        <f t="shared" si="89"/>
        <v>9356.4500000000007</v>
      </c>
      <c r="L233" s="8">
        <f t="shared" si="89"/>
        <v>10393</v>
      </c>
    </row>
    <row r="234" spans="2:12" x14ac:dyDescent="0.25">
      <c r="B234" s="43">
        <f t="shared" si="90"/>
        <v>227</v>
      </c>
      <c r="C234" s="35"/>
      <c r="D234" s="35">
        <v>223</v>
      </c>
      <c r="E234" s="35"/>
      <c r="F234" s="35"/>
      <c r="G234" s="9" t="s">
        <v>41</v>
      </c>
      <c r="H234" s="10">
        <f>H235+H236</f>
        <v>9700</v>
      </c>
      <c r="I234" s="10">
        <f t="shared" ref="I234:L234" si="91">I235+I236</f>
        <v>10530</v>
      </c>
      <c r="J234" s="10">
        <f t="shared" si="91"/>
        <v>10880</v>
      </c>
      <c r="K234" s="10">
        <f t="shared" si="91"/>
        <v>9356.4500000000007</v>
      </c>
      <c r="L234" s="10">
        <f t="shared" si="91"/>
        <v>10393</v>
      </c>
    </row>
    <row r="235" spans="2:12" x14ac:dyDescent="0.25">
      <c r="B235" s="43">
        <f t="shared" si="90"/>
        <v>228</v>
      </c>
      <c r="C235" s="36"/>
      <c r="D235" s="36"/>
      <c r="E235" s="36">
        <v>223001</v>
      </c>
      <c r="F235" s="36"/>
      <c r="G235" s="12" t="s">
        <v>42</v>
      </c>
      <c r="H235" s="13">
        <v>300</v>
      </c>
      <c r="I235" s="13">
        <v>0</v>
      </c>
      <c r="J235" s="13">
        <v>350</v>
      </c>
      <c r="K235" s="13"/>
      <c r="L235" s="13">
        <v>0</v>
      </c>
    </row>
    <row r="236" spans="2:12" x14ac:dyDescent="0.25">
      <c r="B236" s="43">
        <f t="shared" si="90"/>
        <v>229</v>
      </c>
      <c r="C236" s="36"/>
      <c r="D236" s="36"/>
      <c r="E236" s="36">
        <v>223002</v>
      </c>
      <c r="F236" s="36"/>
      <c r="G236" s="12" t="s">
        <v>58</v>
      </c>
      <c r="H236" s="13">
        <v>9400</v>
      </c>
      <c r="I236" s="13">
        <v>10530</v>
      </c>
      <c r="J236" s="13">
        <v>10530</v>
      </c>
      <c r="K236" s="13">
        <v>9356.4500000000007</v>
      </c>
      <c r="L236" s="13">
        <v>10393</v>
      </c>
    </row>
    <row r="237" spans="2:12" x14ac:dyDescent="0.25">
      <c r="B237" s="43">
        <f t="shared" si="90"/>
        <v>230</v>
      </c>
      <c r="C237" s="33" t="s">
        <v>120</v>
      </c>
      <c r="D237" s="33"/>
      <c r="E237" s="33"/>
      <c r="F237" s="33"/>
      <c r="G237" s="5" t="s">
        <v>121</v>
      </c>
      <c r="H237" s="6">
        <f>H238</f>
        <v>12700</v>
      </c>
      <c r="I237" s="6">
        <f t="shared" ref="I237:L239" si="92">I238</f>
        <v>12390</v>
      </c>
      <c r="J237" s="6">
        <f t="shared" si="92"/>
        <v>12390</v>
      </c>
      <c r="K237" s="6">
        <f t="shared" si="92"/>
        <v>12611.72</v>
      </c>
      <c r="L237" s="6">
        <f t="shared" si="92"/>
        <v>11224</v>
      </c>
    </row>
    <row r="238" spans="2:12" x14ac:dyDescent="0.25">
      <c r="B238" s="43">
        <f t="shared" si="90"/>
        <v>231</v>
      </c>
      <c r="C238" s="34">
        <v>220</v>
      </c>
      <c r="D238" s="34"/>
      <c r="E238" s="34"/>
      <c r="F238" s="34"/>
      <c r="G238" s="7" t="s">
        <v>35</v>
      </c>
      <c r="H238" s="8">
        <f>H239</f>
        <v>12700</v>
      </c>
      <c r="I238" s="8">
        <f t="shared" si="92"/>
        <v>12390</v>
      </c>
      <c r="J238" s="8">
        <f t="shared" si="92"/>
        <v>12390</v>
      </c>
      <c r="K238" s="8">
        <f t="shared" si="92"/>
        <v>12611.72</v>
      </c>
      <c r="L238" s="8">
        <f t="shared" si="92"/>
        <v>11224</v>
      </c>
    </row>
    <row r="239" spans="2:12" x14ac:dyDescent="0.25">
      <c r="B239" s="43">
        <f t="shared" si="90"/>
        <v>232</v>
      </c>
      <c r="C239" s="35"/>
      <c r="D239" s="35">
        <v>223</v>
      </c>
      <c r="E239" s="35"/>
      <c r="F239" s="35"/>
      <c r="G239" s="9" t="s">
        <v>41</v>
      </c>
      <c r="H239" s="10">
        <f>H240</f>
        <v>12700</v>
      </c>
      <c r="I239" s="10">
        <f t="shared" si="92"/>
        <v>12390</v>
      </c>
      <c r="J239" s="10">
        <f t="shared" si="92"/>
        <v>12390</v>
      </c>
      <c r="K239" s="10">
        <f t="shared" si="92"/>
        <v>12611.72</v>
      </c>
      <c r="L239" s="10">
        <f t="shared" si="92"/>
        <v>11224</v>
      </c>
    </row>
    <row r="240" spans="2:12" x14ac:dyDescent="0.25">
      <c r="B240" s="43">
        <f t="shared" si="90"/>
        <v>233</v>
      </c>
      <c r="C240" s="36"/>
      <c r="D240" s="36"/>
      <c r="E240" s="36">
        <v>223002</v>
      </c>
      <c r="F240" s="36"/>
      <c r="G240" s="12" t="s">
        <v>58</v>
      </c>
      <c r="H240" s="13">
        <v>12700</v>
      </c>
      <c r="I240" s="13">
        <v>12390</v>
      </c>
      <c r="J240" s="13">
        <v>12390</v>
      </c>
      <c r="K240" s="13">
        <v>12611.72</v>
      </c>
      <c r="L240" s="13">
        <v>11224</v>
      </c>
    </row>
    <row r="241" spans="2:12" x14ac:dyDescent="0.25">
      <c r="B241" s="43">
        <f t="shared" si="90"/>
        <v>234</v>
      </c>
      <c r="C241" s="33" t="s">
        <v>122</v>
      </c>
      <c r="D241" s="33"/>
      <c r="E241" s="33"/>
      <c r="F241" s="33"/>
      <c r="G241" s="5" t="s">
        <v>123</v>
      </c>
      <c r="H241" s="6">
        <f>H242</f>
        <v>7800</v>
      </c>
      <c r="I241" s="6">
        <f t="shared" ref="I241:L243" si="93">I242</f>
        <v>6550</v>
      </c>
      <c r="J241" s="6">
        <f t="shared" si="93"/>
        <v>6550</v>
      </c>
      <c r="K241" s="6">
        <f t="shared" si="93"/>
        <v>6919.76</v>
      </c>
      <c r="L241" s="6">
        <f t="shared" si="93"/>
        <v>7761</v>
      </c>
    </row>
    <row r="242" spans="2:12" x14ac:dyDescent="0.25">
      <c r="B242" s="43">
        <f t="shared" si="90"/>
        <v>235</v>
      </c>
      <c r="C242" s="34">
        <v>220</v>
      </c>
      <c r="D242" s="34"/>
      <c r="E242" s="34"/>
      <c r="F242" s="34"/>
      <c r="G242" s="7" t="s">
        <v>35</v>
      </c>
      <c r="H242" s="8">
        <f>H243</f>
        <v>7800</v>
      </c>
      <c r="I242" s="8">
        <f t="shared" si="93"/>
        <v>6550</v>
      </c>
      <c r="J242" s="8">
        <f t="shared" si="93"/>
        <v>6550</v>
      </c>
      <c r="K242" s="8">
        <f t="shared" si="93"/>
        <v>6919.76</v>
      </c>
      <c r="L242" s="8">
        <f t="shared" si="93"/>
        <v>7761</v>
      </c>
    </row>
    <row r="243" spans="2:12" x14ac:dyDescent="0.25">
      <c r="B243" s="43">
        <f t="shared" si="90"/>
        <v>236</v>
      </c>
      <c r="C243" s="35"/>
      <c r="D243" s="35">
        <v>223</v>
      </c>
      <c r="E243" s="35"/>
      <c r="F243" s="35"/>
      <c r="G243" s="9" t="s">
        <v>41</v>
      </c>
      <c r="H243" s="10">
        <f>H244</f>
        <v>7800</v>
      </c>
      <c r="I243" s="10">
        <f t="shared" si="93"/>
        <v>6550</v>
      </c>
      <c r="J243" s="10">
        <f t="shared" si="93"/>
        <v>6550</v>
      </c>
      <c r="K243" s="10">
        <f t="shared" si="93"/>
        <v>6919.76</v>
      </c>
      <c r="L243" s="10">
        <f t="shared" si="93"/>
        <v>7761</v>
      </c>
    </row>
    <row r="244" spans="2:12" x14ac:dyDescent="0.25">
      <c r="B244" s="43">
        <f t="shared" si="90"/>
        <v>237</v>
      </c>
      <c r="C244" s="36"/>
      <c r="D244" s="36"/>
      <c r="E244" s="36">
        <v>223002</v>
      </c>
      <c r="F244" s="36"/>
      <c r="G244" s="12" t="s">
        <v>58</v>
      </c>
      <c r="H244" s="13">
        <v>7800</v>
      </c>
      <c r="I244" s="13">
        <v>6550</v>
      </c>
      <c r="J244" s="13">
        <v>6550</v>
      </c>
      <c r="K244" s="13">
        <v>6919.76</v>
      </c>
      <c r="L244" s="13">
        <v>7761</v>
      </c>
    </row>
    <row r="245" spans="2:12" x14ac:dyDescent="0.25">
      <c r="B245" s="43">
        <f t="shared" si="90"/>
        <v>238</v>
      </c>
      <c r="C245" s="33" t="s">
        <v>124</v>
      </c>
      <c r="D245" s="33"/>
      <c r="E245" s="33"/>
      <c r="F245" s="33"/>
      <c r="G245" s="5" t="s">
        <v>125</v>
      </c>
      <c r="H245" s="6">
        <f>H246</f>
        <v>3900</v>
      </c>
      <c r="I245" s="6">
        <f t="shared" ref="I245:L247" si="94">I246</f>
        <v>4700</v>
      </c>
      <c r="J245" s="6">
        <f t="shared" si="94"/>
        <v>4700</v>
      </c>
      <c r="K245" s="6">
        <f t="shared" si="94"/>
        <v>4168.3599999999997</v>
      </c>
      <c r="L245" s="6">
        <f t="shared" si="94"/>
        <v>3496</v>
      </c>
    </row>
    <row r="246" spans="2:12" x14ac:dyDescent="0.25">
      <c r="B246" s="43">
        <f t="shared" si="90"/>
        <v>239</v>
      </c>
      <c r="C246" s="34">
        <v>220</v>
      </c>
      <c r="D246" s="34"/>
      <c r="E246" s="34"/>
      <c r="F246" s="34"/>
      <c r="G246" s="7" t="s">
        <v>35</v>
      </c>
      <c r="H246" s="8">
        <f>H247</f>
        <v>3900</v>
      </c>
      <c r="I246" s="8">
        <f t="shared" si="94"/>
        <v>4700</v>
      </c>
      <c r="J246" s="8">
        <f t="shared" si="94"/>
        <v>4700</v>
      </c>
      <c r="K246" s="8">
        <f t="shared" si="94"/>
        <v>4168.3599999999997</v>
      </c>
      <c r="L246" s="8">
        <f t="shared" si="94"/>
        <v>3496</v>
      </c>
    </row>
    <row r="247" spans="2:12" x14ac:dyDescent="0.25">
      <c r="B247" s="43">
        <f t="shared" si="90"/>
        <v>240</v>
      </c>
      <c r="C247" s="35"/>
      <c r="D247" s="35">
        <v>223</v>
      </c>
      <c r="E247" s="35"/>
      <c r="F247" s="35"/>
      <c r="G247" s="9" t="s">
        <v>41</v>
      </c>
      <c r="H247" s="10">
        <f>H248</f>
        <v>3900</v>
      </c>
      <c r="I247" s="10">
        <f t="shared" si="94"/>
        <v>4700</v>
      </c>
      <c r="J247" s="10">
        <f t="shared" si="94"/>
        <v>4700</v>
      </c>
      <c r="K247" s="10">
        <f t="shared" si="94"/>
        <v>4168.3599999999997</v>
      </c>
      <c r="L247" s="10">
        <f t="shared" si="94"/>
        <v>3496</v>
      </c>
    </row>
    <row r="248" spans="2:12" x14ac:dyDescent="0.25">
      <c r="B248" s="43">
        <f t="shared" si="90"/>
        <v>241</v>
      </c>
      <c r="C248" s="36"/>
      <c r="D248" s="36"/>
      <c r="E248" s="36">
        <v>223002</v>
      </c>
      <c r="F248" s="36"/>
      <c r="G248" s="12" t="s">
        <v>58</v>
      </c>
      <c r="H248" s="13">
        <v>3900</v>
      </c>
      <c r="I248" s="13">
        <v>4700</v>
      </c>
      <c r="J248" s="13">
        <v>4700</v>
      </c>
      <c r="K248" s="13">
        <v>4168.3599999999997</v>
      </c>
      <c r="L248" s="13">
        <v>3496</v>
      </c>
    </row>
    <row r="249" spans="2:12" x14ac:dyDescent="0.25">
      <c r="B249" s="43">
        <f t="shared" si="90"/>
        <v>242</v>
      </c>
      <c r="C249" s="33" t="s">
        <v>126</v>
      </c>
      <c r="D249" s="33"/>
      <c r="E249" s="33"/>
      <c r="F249" s="33"/>
      <c r="G249" s="5" t="s">
        <v>127</v>
      </c>
      <c r="H249" s="6">
        <f>H250</f>
        <v>3500</v>
      </c>
      <c r="I249" s="6">
        <f t="shared" ref="I249:L251" si="95">I250</f>
        <v>3410</v>
      </c>
      <c r="J249" s="6">
        <f t="shared" si="95"/>
        <v>3410</v>
      </c>
      <c r="K249" s="6">
        <f t="shared" si="95"/>
        <v>4045.36</v>
      </c>
      <c r="L249" s="6">
        <f t="shared" si="95"/>
        <v>3851</v>
      </c>
    </row>
    <row r="250" spans="2:12" x14ac:dyDescent="0.25">
      <c r="B250" s="43">
        <f t="shared" si="90"/>
        <v>243</v>
      </c>
      <c r="C250" s="34">
        <v>220</v>
      </c>
      <c r="D250" s="34"/>
      <c r="E250" s="34"/>
      <c r="F250" s="34"/>
      <c r="G250" s="7" t="s">
        <v>35</v>
      </c>
      <c r="H250" s="8">
        <f>H251</f>
        <v>3500</v>
      </c>
      <c r="I250" s="8">
        <f t="shared" si="95"/>
        <v>3410</v>
      </c>
      <c r="J250" s="8">
        <f t="shared" si="95"/>
        <v>3410</v>
      </c>
      <c r="K250" s="8">
        <f t="shared" si="95"/>
        <v>4045.36</v>
      </c>
      <c r="L250" s="8">
        <f t="shared" si="95"/>
        <v>3851</v>
      </c>
    </row>
    <row r="251" spans="2:12" x14ac:dyDescent="0.25">
      <c r="B251" s="43">
        <f t="shared" si="90"/>
        <v>244</v>
      </c>
      <c r="C251" s="35"/>
      <c r="D251" s="35">
        <v>223</v>
      </c>
      <c r="E251" s="35"/>
      <c r="F251" s="35"/>
      <c r="G251" s="9" t="s">
        <v>41</v>
      </c>
      <c r="H251" s="10">
        <f>H252</f>
        <v>3500</v>
      </c>
      <c r="I251" s="10">
        <f t="shared" si="95"/>
        <v>3410</v>
      </c>
      <c r="J251" s="10">
        <f t="shared" si="95"/>
        <v>3410</v>
      </c>
      <c r="K251" s="10">
        <f t="shared" si="95"/>
        <v>4045.36</v>
      </c>
      <c r="L251" s="10">
        <f t="shared" si="95"/>
        <v>3851</v>
      </c>
    </row>
    <row r="252" spans="2:12" x14ac:dyDescent="0.25">
      <c r="B252" s="43">
        <f t="shared" si="90"/>
        <v>245</v>
      </c>
      <c r="C252" s="36"/>
      <c r="D252" s="36"/>
      <c r="E252" s="36">
        <v>223002</v>
      </c>
      <c r="F252" s="36"/>
      <c r="G252" s="12" t="s">
        <v>58</v>
      </c>
      <c r="H252" s="13">
        <v>3500</v>
      </c>
      <c r="I252" s="13">
        <v>3410</v>
      </c>
      <c r="J252" s="13">
        <v>3410</v>
      </c>
      <c r="K252" s="13">
        <v>4045.36</v>
      </c>
      <c r="L252" s="13">
        <v>3851</v>
      </c>
    </row>
    <row r="253" spans="2:12" x14ac:dyDescent="0.25">
      <c r="B253" s="43">
        <f t="shared" si="90"/>
        <v>246</v>
      </c>
      <c r="C253" s="33" t="s">
        <v>128</v>
      </c>
      <c r="D253" s="33"/>
      <c r="E253" s="33"/>
      <c r="F253" s="33"/>
      <c r="G253" s="5" t="s">
        <v>129</v>
      </c>
      <c r="H253" s="6">
        <f>H254</f>
        <v>3500</v>
      </c>
      <c r="I253" s="6">
        <f t="shared" ref="I253:L255" si="96">I254</f>
        <v>2420</v>
      </c>
      <c r="J253" s="6">
        <f t="shared" si="96"/>
        <v>2420</v>
      </c>
      <c r="K253" s="6">
        <f t="shared" si="96"/>
        <v>3462.96</v>
      </c>
      <c r="L253" s="6">
        <f t="shared" si="96"/>
        <v>3547</v>
      </c>
    </row>
    <row r="254" spans="2:12" x14ac:dyDescent="0.25">
      <c r="B254" s="43">
        <f t="shared" si="90"/>
        <v>247</v>
      </c>
      <c r="C254" s="34">
        <v>220</v>
      </c>
      <c r="D254" s="34"/>
      <c r="E254" s="34"/>
      <c r="F254" s="34"/>
      <c r="G254" s="7" t="s">
        <v>35</v>
      </c>
      <c r="H254" s="8">
        <f>H255</f>
        <v>3500</v>
      </c>
      <c r="I254" s="8">
        <f t="shared" si="96"/>
        <v>2420</v>
      </c>
      <c r="J254" s="8">
        <f t="shared" si="96"/>
        <v>2420</v>
      </c>
      <c r="K254" s="8">
        <f t="shared" si="96"/>
        <v>3462.96</v>
      </c>
      <c r="L254" s="8">
        <f t="shared" si="96"/>
        <v>3547</v>
      </c>
    </row>
    <row r="255" spans="2:12" x14ac:dyDescent="0.25">
      <c r="B255" s="43">
        <f t="shared" si="90"/>
        <v>248</v>
      </c>
      <c r="C255" s="35"/>
      <c r="D255" s="35">
        <v>223</v>
      </c>
      <c r="E255" s="35"/>
      <c r="F255" s="35"/>
      <c r="G255" s="9" t="s">
        <v>41</v>
      </c>
      <c r="H255" s="10">
        <f>H256</f>
        <v>3500</v>
      </c>
      <c r="I255" s="10">
        <f t="shared" si="96"/>
        <v>2420</v>
      </c>
      <c r="J255" s="10">
        <f t="shared" si="96"/>
        <v>2420</v>
      </c>
      <c r="K255" s="10">
        <f t="shared" si="96"/>
        <v>3462.96</v>
      </c>
      <c r="L255" s="10">
        <f t="shared" si="96"/>
        <v>3547</v>
      </c>
    </row>
    <row r="256" spans="2:12" x14ac:dyDescent="0.25">
      <c r="B256" s="43">
        <f t="shared" si="90"/>
        <v>249</v>
      </c>
      <c r="C256" s="36"/>
      <c r="D256" s="36"/>
      <c r="E256" s="36">
        <v>223002</v>
      </c>
      <c r="F256" s="36"/>
      <c r="G256" s="12" t="s">
        <v>58</v>
      </c>
      <c r="H256" s="13">
        <v>3500</v>
      </c>
      <c r="I256" s="13">
        <v>2420</v>
      </c>
      <c r="J256" s="13">
        <v>2420</v>
      </c>
      <c r="K256" s="13">
        <v>3462.96</v>
      </c>
      <c r="L256" s="13">
        <v>3547</v>
      </c>
    </row>
    <row r="257" spans="2:12" x14ac:dyDescent="0.25">
      <c r="B257" s="43">
        <f t="shared" si="90"/>
        <v>250</v>
      </c>
      <c r="C257" s="33" t="s">
        <v>130</v>
      </c>
      <c r="D257" s="33"/>
      <c r="E257" s="33"/>
      <c r="F257" s="33"/>
      <c r="G257" s="5" t="s">
        <v>131</v>
      </c>
      <c r="H257" s="6">
        <f>H258</f>
        <v>13300</v>
      </c>
      <c r="I257" s="6">
        <f t="shared" ref="I257:L259" si="97">I258</f>
        <v>14950</v>
      </c>
      <c r="J257" s="6">
        <f t="shared" si="97"/>
        <v>14950</v>
      </c>
      <c r="K257" s="6">
        <f t="shared" si="97"/>
        <v>13582.23</v>
      </c>
      <c r="L257" s="6">
        <f t="shared" si="97"/>
        <v>10570</v>
      </c>
    </row>
    <row r="258" spans="2:12" x14ac:dyDescent="0.25">
      <c r="B258" s="43">
        <f t="shared" si="90"/>
        <v>251</v>
      </c>
      <c r="C258" s="34">
        <v>220</v>
      </c>
      <c r="D258" s="34"/>
      <c r="E258" s="34"/>
      <c r="F258" s="34"/>
      <c r="G258" s="7" t="s">
        <v>35</v>
      </c>
      <c r="H258" s="8">
        <f>H259</f>
        <v>13300</v>
      </c>
      <c r="I258" s="8">
        <f t="shared" si="97"/>
        <v>14950</v>
      </c>
      <c r="J258" s="8">
        <f t="shared" si="97"/>
        <v>14950</v>
      </c>
      <c r="K258" s="8">
        <f t="shared" si="97"/>
        <v>13582.23</v>
      </c>
      <c r="L258" s="8">
        <f t="shared" si="97"/>
        <v>10570</v>
      </c>
    </row>
    <row r="259" spans="2:12" x14ac:dyDescent="0.25">
      <c r="B259" s="43">
        <f t="shared" si="90"/>
        <v>252</v>
      </c>
      <c r="C259" s="35"/>
      <c r="D259" s="35">
        <v>223</v>
      </c>
      <c r="E259" s="35"/>
      <c r="F259" s="35"/>
      <c r="G259" s="9" t="s">
        <v>41</v>
      </c>
      <c r="H259" s="10">
        <f>H260</f>
        <v>13300</v>
      </c>
      <c r="I259" s="10">
        <f t="shared" si="97"/>
        <v>14950</v>
      </c>
      <c r="J259" s="10">
        <f t="shared" si="97"/>
        <v>14950</v>
      </c>
      <c r="K259" s="10">
        <f t="shared" si="97"/>
        <v>13582.23</v>
      </c>
      <c r="L259" s="10">
        <f t="shared" si="97"/>
        <v>10570</v>
      </c>
    </row>
    <row r="260" spans="2:12" x14ac:dyDescent="0.25">
      <c r="B260" s="43">
        <f t="shared" si="90"/>
        <v>253</v>
      </c>
      <c r="C260" s="36"/>
      <c r="D260" s="36"/>
      <c r="E260" s="36">
        <v>223002</v>
      </c>
      <c r="F260" s="36"/>
      <c r="G260" s="12" t="s">
        <v>58</v>
      </c>
      <c r="H260" s="13">
        <v>13300</v>
      </c>
      <c r="I260" s="13">
        <v>14950</v>
      </c>
      <c r="J260" s="13">
        <v>14950</v>
      </c>
      <c r="K260" s="13">
        <v>13582.23</v>
      </c>
      <c r="L260" s="13">
        <v>10570</v>
      </c>
    </row>
    <row r="261" spans="2:12" x14ac:dyDescent="0.25">
      <c r="B261" s="43">
        <f t="shared" si="90"/>
        <v>254</v>
      </c>
      <c r="C261" s="33" t="s">
        <v>132</v>
      </c>
      <c r="D261" s="33"/>
      <c r="E261" s="33"/>
      <c r="F261" s="33"/>
      <c r="G261" s="5" t="s">
        <v>133</v>
      </c>
      <c r="H261" s="6">
        <f>H262</f>
        <v>1100</v>
      </c>
      <c r="I261" s="6">
        <f t="shared" ref="I261:K261" si="98">I262</f>
        <v>1060</v>
      </c>
      <c r="J261" s="6">
        <f t="shared" si="98"/>
        <v>1060</v>
      </c>
      <c r="K261" s="6">
        <f t="shared" si="98"/>
        <v>1130</v>
      </c>
      <c r="L261" s="6">
        <f>L262</f>
        <v>1261</v>
      </c>
    </row>
    <row r="262" spans="2:12" x14ac:dyDescent="0.25">
      <c r="B262" s="43">
        <f t="shared" si="90"/>
        <v>255</v>
      </c>
      <c r="C262" s="34">
        <v>220</v>
      </c>
      <c r="D262" s="34"/>
      <c r="E262" s="34"/>
      <c r="F262" s="34"/>
      <c r="G262" s="7" t="s">
        <v>35</v>
      </c>
      <c r="H262" s="8">
        <f>H263</f>
        <v>1100</v>
      </c>
      <c r="I262" s="8">
        <f t="shared" ref="I262:L263" si="99">I263</f>
        <v>1060</v>
      </c>
      <c r="J262" s="8">
        <f t="shared" si="99"/>
        <v>1060</v>
      </c>
      <c r="K262" s="8">
        <f t="shared" si="99"/>
        <v>1130</v>
      </c>
      <c r="L262" s="8">
        <f t="shared" si="99"/>
        <v>1261</v>
      </c>
    </row>
    <row r="263" spans="2:12" x14ac:dyDescent="0.25">
      <c r="B263" s="43">
        <f t="shared" si="90"/>
        <v>256</v>
      </c>
      <c r="C263" s="35"/>
      <c r="D263" s="35">
        <v>223</v>
      </c>
      <c r="E263" s="35"/>
      <c r="F263" s="35"/>
      <c r="G263" s="9" t="s">
        <v>41</v>
      </c>
      <c r="H263" s="10">
        <f>H264</f>
        <v>1100</v>
      </c>
      <c r="I263" s="10">
        <f t="shared" si="99"/>
        <v>1060</v>
      </c>
      <c r="J263" s="10">
        <f t="shared" si="99"/>
        <v>1060</v>
      </c>
      <c r="K263" s="10">
        <f t="shared" si="99"/>
        <v>1130</v>
      </c>
      <c r="L263" s="10">
        <f t="shared" si="99"/>
        <v>1261</v>
      </c>
    </row>
    <row r="264" spans="2:12" x14ac:dyDescent="0.25">
      <c r="B264" s="43">
        <f t="shared" si="90"/>
        <v>257</v>
      </c>
      <c r="C264" s="36"/>
      <c r="D264" s="36"/>
      <c r="E264" s="36">
        <v>223002</v>
      </c>
      <c r="F264" s="36"/>
      <c r="G264" s="12" t="s">
        <v>58</v>
      </c>
      <c r="H264" s="13">
        <v>1100</v>
      </c>
      <c r="I264" s="13">
        <v>1060</v>
      </c>
      <c r="J264" s="13">
        <v>1060</v>
      </c>
      <c r="K264" s="13">
        <v>1130</v>
      </c>
      <c r="L264" s="13">
        <v>1261</v>
      </c>
    </row>
    <row r="265" spans="2:12" x14ac:dyDescent="0.25">
      <c r="B265" s="43">
        <f t="shared" si="90"/>
        <v>258</v>
      </c>
      <c r="C265" s="33" t="s">
        <v>136</v>
      </c>
      <c r="D265" s="33"/>
      <c r="E265" s="33"/>
      <c r="F265" s="33"/>
      <c r="G265" s="5" t="s">
        <v>137</v>
      </c>
      <c r="H265" s="6">
        <f>H266+H269+H272</f>
        <v>3300</v>
      </c>
      <c r="I265" s="6">
        <f t="shared" ref="I265:L265" si="100">I266+I269+I272</f>
        <v>8015</v>
      </c>
      <c r="J265" s="6">
        <f t="shared" si="100"/>
        <v>8015</v>
      </c>
      <c r="K265" s="6">
        <f t="shared" si="100"/>
        <v>9034</v>
      </c>
      <c r="L265" s="6">
        <f t="shared" si="100"/>
        <v>18364</v>
      </c>
    </row>
    <row r="266" spans="2:12" x14ac:dyDescent="0.25">
      <c r="B266" s="43">
        <f t="shared" si="90"/>
        <v>259</v>
      </c>
      <c r="C266" s="34">
        <v>210</v>
      </c>
      <c r="D266" s="34"/>
      <c r="E266" s="34"/>
      <c r="F266" s="34"/>
      <c r="G266" s="7" t="s">
        <v>28</v>
      </c>
      <c r="H266" s="8">
        <f>H267</f>
        <v>3285</v>
      </c>
      <c r="I266" s="8">
        <f t="shared" ref="I266:L267" si="101">I267</f>
        <v>8000</v>
      </c>
      <c r="J266" s="8">
        <f t="shared" si="101"/>
        <v>8000</v>
      </c>
      <c r="K266" s="8">
        <f t="shared" si="101"/>
        <v>5838</v>
      </c>
      <c r="L266" s="8">
        <f t="shared" si="101"/>
        <v>7424</v>
      </c>
    </row>
    <row r="267" spans="2:12" x14ac:dyDescent="0.25">
      <c r="B267" s="43">
        <f t="shared" si="90"/>
        <v>260</v>
      </c>
      <c r="C267" s="35"/>
      <c r="D267" s="35">
        <v>212</v>
      </c>
      <c r="E267" s="35"/>
      <c r="F267" s="35"/>
      <c r="G267" s="9" t="s">
        <v>31</v>
      </c>
      <c r="H267" s="10">
        <f>H268</f>
        <v>3285</v>
      </c>
      <c r="I267" s="10">
        <f t="shared" si="101"/>
        <v>8000</v>
      </c>
      <c r="J267" s="10">
        <f t="shared" si="101"/>
        <v>8000</v>
      </c>
      <c r="K267" s="10">
        <f t="shared" si="101"/>
        <v>5838</v>
      </c>
      <c r="L267" s="10">
        <f t="shared" si="101"/>
        <v>7424</v>
      </c>
    </row>
    <row r="268" spans="2:12" x14ac:dyDescent="0.25">
      <c r="B268" s="43">
        <f t="shared" si="90"/>
        <v>261</v>
      </c>
      <c r="C268" s="36"/>
      <c r="D268" s="36"/>
      <c r="E268" s="36">
        <v>212003</v>
      </c>
      <c r="F268" s="36"/>
      <c r="G268" s="12" t="s">
        <v>33</v>
      </c>
      <c r="H268" s="13">
        <v>3285</v>
      </c>
      <c r="I268" s="13">
        <v>8000</v>
      </c>
      <c r="J268" s="13">
        <v>8000</v>
      </c>
      <c r="K268" s="13">
        <f>196+762+1770+884+2226</f>
        <v>5838</v>
      </c>
      <c r="L268" s="13">
        <v>7424</v>
      </c>
    </row>
    <row r="269" spans="2:12" x14ac:dyDescent="0.25">
      <c r="B269" s="43">
        <f t="shared" si="90"/>
        <v>262</v>
      </c>
      <c r="C269" s="34">
        <v>240</v>
      </c>
      <c r="D269" s="34"/>
      <c r="E269" s="34"/>
      <c r="F269" s="34"/>
      <c r="G269" s="7" t="s">
        <v>46</v>
      </c>
      <c r="H269" s="8">
        <f>H270</f>
        <v>15</v>
      </c>
      <c r="I269" s="8">
        <f t="shared" ref="I269:L270" si="102">I270</f>
        <v>15</v>
      </c>
      <c r="J269" s="8">
        <f t="shared" si="102"/>
        <v>15</v>
      </c>
      <c r="K269" s="8">
        <f t="shared" si="102"/>
        <v>12</v>
      </c>
      <c r="L269" s="8">
        <f t="shared" si="102"/>
        <v>10</v>
      </c>
    </row>
    <row r="270" spans="2:12" x14ac:dyDescent="0.25">
      <c r="B270" s="43">
        <f t="shared" si="90"/>
        <v>263</v>
      </c>
      <c r="C270" s="35"/>
      <c r="D270" s="35">
        <v>242</v>
      </c>
      <c r="E270" s="35"/>
      <c r="F270" s="35"/>
      <c r="G270" s="9" t="s">
        <v>47</v>
      </c>
      <c r="H270" s="10">
        <f>H271</f>
        <v>15</v>
      </c>
      <c r="I270" s="10">
        <f t="shared" si="102"/>
        <v>15</v>
      </c>
      <c r="J270" s="10">
        <f t="shared" si="102"/>
        <v>15</v>
      </c>
      <c r="K270" s="10">
        <f t="shared" si="102"/>
        <v>12</v>
      </c>
      <c r="L270" s="10">
        <f t="shared" si="102"/>
        <v>10</v>
      </c>
    </row>
    <row r="271" spans="2:12" x14ac:dyDescent="0.25">
      <c r="B271" s="43">
        <f t="shared" si="90"/>
        <v>264</v>
      </c>
      <c r="C271" s="36"/>
      <c r="D271" s="36"/>
      <c r="E271" s="36">
        <v>242</v>
      </c>
      <c r="F271" s="36"/>
      <c r="G271" s="12" t="s">
        <v>47</v>
      </c>
      <c r="H271" s="13">
        <v>15</v>
      </c>
      <c r="I271" s="13">
        <v>15</v>
      </c>
      <c r="J271" s="13">
        <v>15</v>
      </c>
      <c r="K271" s="13">
        <v>12</v>
      </c>
      <c r="L271" s="13">
        <v>10</v>
      </c>
    </row>
    <row r="272" spans="2:12" x14ac:dyDescent="0.25">
      <c r="B272" s="43">
        <f t="shared" si="90"/>
        <v>265</v>
      </c>
      <c r="C272" s="34">
        <v>290</v>
      </c>
      <c r="D272" s="34"/>
      <c r="E272" s="34"/>
      <c r="F272" s="34"/>
      <c r="G272" s="7" t="s">
        <v>49</v>
      </c>
      <c r="H272" s="8">
        <f>H273</f>
        <v>0</v>
      </c>
      <c r="I272" s="8">
        <f t="shared" ref="I272:L272" si="103">I273</f>
        <v>0</v>
      </c>
      <c r="J272" s="8">
        <f t="shared" si="103"/>
        <v>0</v>
      </c>
      <c r="K272" s="8">
        <f t="shared" si="103"/>
        <v>3184</v>
      </c>
      <c r="L272" s="8">
        <f t="shared" si="103"/>
        <v>10930</v>
      </c>
    </row>
    <row r="273" spans="2:12" x14ac:dyDescent="0.25">
      <c r="B273" s="43">
        <f t="shared" si="90"/>
        <v>266</v>
      </c>
      <c r="C273" s="35"/>
      <c r="D273" s="35">
        <v>292</v>
      </c>
      <c r="E273" s="35"/>
      <c r="F273" s="35"/>
      <c r="G273" s="9" t="s">
        <v>50</v>
      </c>
      <c r="H273" s="10">
        <f>H274+H275</f>
        <v>0</v>
      </c>
      <c r="I273" s="10">
        <f t="shared" ref="I273:L273" si="104">I275+I274</f>
        <v>0</v>
      </c>
      <c r="J273" s="10">
        <f t="shared" si="104"/>
        <v>0</v>
      </c>
      <c r="K273" s="10">
        <f t="shared" si="104"/>
        <v>3184</v>
      </c>
      <c r="L273" s="10">
        <f t="shared" si="104"/>
        <v>10930</v>
      </c>
    </row>
    <row r="274" spans="2:12" x14ac:dyDescent="0.25">
      <c r="B274" s="43">
        <f t="shared" si="90"/>
        <v>267</v>
      </c>
      <c r="C274" s="36"/>
      <c r="D274" s="36"/>
      <c r="E274" s="36">
        <v>292012</v>
      </c>
      <c r="F274" s="36"/>
      <c r="G274" s="12" t="s">
        <v>53</v>
      </c>
      <c r="H274" s="13">
        <v>0</v>
      </c>
      <c r="I274" s="13">
        <v>0</v>
      </c>
      <c r="J274" s="13"/>
      <c r="K274" s="13">
        <f>2561-550</f>
        <v>2011</v>
      </c>
      <c r="L274" s="13">
        <v>8579</v>
      </c>
    </row>
    <row r="275" spans="2:12" ht="15.75" thickBot="1" x14ac:dyDescent="0.3">
      <c r="B275" s="43">
        <f t="shared" si="90"/>
        <v>268</v>
      </c>
      <c r="C275" s="36"/>
      <c r="D275" s="36"/>
      <c r="E275" s="36">
        <v>292019</v>
      </c>
      <c r="F275" s="36"/>
      <c r="G275" s="12" t="s">
        <v>55</v>
      </c>
      <c r="H275" s="13">
        <v>0</v>
      </c>
      <c r="I275" s="13">
        <v>0</v>
      </c>
      <c r="J275" s="13"/>
      <c r="K275" s="13">
        <v>1173</v>
      </c>
      <c r="L275" s="13">
        <v>2351</v>
      </c>
    </row>
    <row r="276" spans="2:12" ht="15.75" thickBot="1" x14ac:dyDescent="0.3">
      <c r="B276" s="43">
        <f t="shared" si="90"/>
        <v>269</v>
      </c>
      <c r="C276" s="32">
        <v>5</v>
      </c>
      <c r="D276" s="32"/>
      <c r="E276" s="32"/>
      <c r="F276" s="32"/>
      <c r="G276" s="3" t="s">
        <v>138</v>
      </c>
      <c r="H276" s="4">
        <f>H277+H286+H290+H294+H298+H302+H306+H310+H314+H318+H322+H326+H330+H334+H338+H342+H346+H350+H354+H358+H362+H366+H370+H374</f>
        <v>706000</v>
      </c>
      <c r="I276" s="4">
        <f t="shared" ref="I276:L276" si="105">I277+I286+I290+I294+I298+I302+I306+I310+I314+I318+I322+I326+I330+I334+I338+I342+I346+I350+I354+I358+I362+I366+I370+I374</f>
        <v>706000</v>
      </c>
      <c r="J276" s="4">
        <f t="shared" si="105"/>
        <v>717557</v>
      </c>
      <c r="K276" s="4">
        <f t="shared" si="105"/>
        <v>728910.67</v>
      </c>
      <c r="L276" s="4">
        <f t="shared" si="105"/>
        <v>710916</v>
      </c>
    </row>
    <row r="277" spans="2:12" x14ac:dyDescent="0.25">
      <c r="B277" s="43">
        <f t="shared" si="90"/>
        <v>270</v>
      </c>
      <c r="C277" s="33" t="s">
        <v>60</v>
      </c>
      <c r="D277" s="33"/>
      <c r="E277" s="33"/>
      <c r="F277" s="33"/>
      <c r="G277" s="5"/>
      <c r="H277" s="6">
        <f>H278+H281</f>
        <v>0</v>
      </c>
      <c r="I277" s="6">
        <f t="shared" ref="I277:L277" si="106">I281+I278</f>
        <v>0</v>
      </c>
      <c r="J277" s="6">
        <f t="shared" si="106"/>
        <v>20514</v>
      </c>
      <c r="K277" s="6">
        <f t="shared" si="106"/>
        <v>6943.6299999999992</v>
      </c>
      <c r="L277" s="6">
        <f t="shared" si="106"/>
        <v>9503</v>
      </c>
    </row>
    <row r="278" spans="2:12" x14ac:dyDescent="0.25">
      <c r="B278" s="43">
        <f t="shared" si="90"/>
        <v>271</v>
      </c>
      <c r="C278" s="34">
        <v>240</v>
      </c>
      <c r="D278" s="34"/>
      <c r="E278" s="34"/>
      <c r="F278" s="34"/>
      <c r="G278" s="7" t="s">
        <v>46</v>
      </c>
      <c r="H278" s="8">
        <f>SUM(H279:H280)</f>
        <v>0</v>
      </c>
      <c r="I278" s="8">
        <f t="shared" ref="I278:L279" si="107">I279</f>
        <v>0</v>
      </c>
      <c r="J278" s="8">
        <f t="shared" si="107"/>
        <v>0</v>
      </c>
      <c r="K278" s="8">
        <f t="shared" si="107"/>
        <v>8.07</v>
      </c>
      <c r="L278" s="8">
        <f t="shared" si="107"/>
        <v>9</v>
      </c>
    </row>
    <row r="279" spans="2:12" x14ac:dyDescent="0.25">
      <c r="B279" s="43">
        <f t="shared" si="90"/>
        <v>272</v>
      </c>
      <c r="C279" s="35"/>
      <c r="D279" s="35">
        <v>242</v>
      </c>
      <c r="E279" s="35"/>
      <c r="F279" s="35"/>
      <c r="G279" s="9" t="s">
        <v>47</v>
      </c>
      <c r="H279" s="10">
        <v>0</v>
      </c>
      <c r="I279" s="10">
        <f t="shared" si="107"/>
        <v>0</v>
      </c>
      <c r="J279" s="10">
        <f t="shared" si="107"/>
        <v>0</v>
      </c>
      <c r="K279" s="10">
        <f t="shared" si="107"/>
        <v>8.07</v>
      </c>
      <c r="L279" s="10">
        <f t="shared" si="107"/>
        <v>9</v>
      </c>
    </row>
    <row r="280" spans="2:12" x14ac:dyDescent="0.25">
      <c r="B280" s="43">
        <f t="shared" si="90"/>
        <v>273</v>
      </c>
      <c r="C280" s="36"/>
      <c r="D280" s="36"/>
      <c r="E280" s="36">
        <v>242</v>
      </c>
      <c r="F280" s="36"/>
      <c r="G280" s="12" t="s">
        <v>47</v>
      </c>
      <c r="H280" s="13">
        <v>0</v>
      </c>
      <c r="I280" s="13">
        <v>0</v>
      </c>
      <c r="J280" s="13"/>
      <c r="K280" s="13">
        <v>8.07</v>
      </c>
      <c r="L280" s="13">
        <v>9</v>
      </c>
    </row>
    <row r="281" spans="2:12" x14ac:dyDescent="0.25">
      <c r="B281" s="43">
        <f t="shared" si="90"/>
        <v>274</v>
      </c>
      <c r="C281" s="34">
        <v>290</v>
      </c>
      <c r="D281" s="34"/>
      <c r="E281" s="34"/>
      <c r="F281" s="34"/>
      <c r="G281" s="7" t="s">
        <v>49</v>
      </c>
      <c r="H281" s="8">
        <f>H282</f>
        <v>0</v>
      </c>
      <c r="I281" s="8">
        <f t="shared" ref="I281:L281" si="108">I282</f>
        <v>0</v>
      </c>
      <c r="J281" s="8">
        <f t="shared" si="108"/>
        <v>20514</v>
      </c>
      <c r="K281" s="8">
        <f t="shared" si="108"/>
        <v>6935.5599999999995</v>
      </c>
      <c r="L281" s="8">
        <f t="shared" si="108"/>
        <v>9494</v>
      </c>
    </row>
    <row r="282" spans="2:12" x14ac:dyDescent="0.25">
      <c r="B282" s="43">
        <f t="shared" si="90"/>
        <v>275</v>
      </c>
      <c r="C282" s="35"/>
      <c r="D282" s="35">
        <v>292</v>
      </c>
      <c r="E282" s="35"/>
      <c r="F282" s="35"/>
      <c r="G282" s="9" t="s">
        <v>50</v>
      </c>
      <c r="H282" s="10">
        <f>SUM(H283:H285)</f>
        <v>0</v>
      </c>
      <c r="I282" s="10">
        <f>SUM(I283:I285)</f>
        <v>0</v>
      </c>
      <c r="J282" s="10">
        <f t="shared" ref="J282:L282" si="109">SUM(J283:J285)</f>
        <v>20514</v>
      </c>
      <c r="K282" s="10">
        <f t="shared" si="109"/>
        <v>6935.5599999999995</v>
      </c>
      <c r="L282" s="10">
        <f t="shared" si="109"/>
        <v>9494</v>
      </c>
    </row>
    <row r="283" spans="2:12" x14ac:dyDescent="0.25">
      <c r="B283" s="43">
        <f t="shared" ref="B283:B315" si="110">B282+1</f>
        <v>276</v>
      </c>
      <c r="C283" s="36"/>
      <c r="D283" s="36"/>
      <c r="E283" s="36">
        <v>292012</v>
      </c>
      <c r="F283" s="36"/>
      <c r="G283" s="12" t="s">
        <v>53</v>
      </c>
      <c r="H283" s="13">
        <v>0</v>
      </c>
      <c r="I283" s="13">
        <v>0</v>
      </c>
      <c r="J283" s="13"/>
      <c r="K283" s="13">
        <v>3835.12</v>
      </c>
      <c r="L283" s="13">
        <v>7159</v>
      </c>
    </row>
    <row r="284" spans="2:12" x14ac:dyDescent="0.25">
      <c r="B284" s="43">
        <f t="shared" si="110"/>
        <v>277</v>
      </c>
      <c r="C284" s="36"/>
      <c r="D284" s="36"/>
      <c r="E284" s="36">
        <v>292017</v>
      </c>
      <c r="F284" s="36"/>
      <c r="G284" s="12" t="s">
        <v>54</v>
      </c>
      <c r="H284" s="13">
        <v>0</v>
      </c>
      <c r="I284" s="13">
        <v>0</v>
      </c>
      <c r="J284" s="13">
        <v>20514</v>
      </c>
      <c r="K284" s="13">
        <v>896.46</v>
      </c>
      <c r="L284" s="13">
        <v>1005</v>
      </c>
    </row>
    <row r="285" spans="2:12" x14ac:dyDescent="0.25">
      <c r="B285" s="43">
        <f t="shared" si="110"/>
        <v>278</v>
      </c>
      <c r="C285" s="36"/>
      <c r="D285" s="36"/>
      <c r="E285" s="36">
        <v>292019</v>
      </c>
      <c r="F285" s="36"/>
      <c r="G285" s="12" t="s">
        <v>55</v>
      </c>
      <c r="H285" s="13">
        <v>0</v>
      </c>
      <c r="I285" s="13">
        <v>0</v>
      </c>
      <c r="J285" s="13"/>
      <c r="K285" s="13">
        <v>2203.98</v>
      </c>
      <c r="L285" s="13">
        <v>1330</v>
      </c>
    </row>
    <row r="286" spans="2:12" x14ac:dyDescent="0.25">
      <c r="B286" s="43">
        <f t="shared" si="110"/>
        <v>279</v>
      </c>
      <c r="C286" s="33" t="s">
        <v>139</v>
      </c>
      <c r="D286" s="33"/>
      <c r="E286" s="33"/>
      <c r="F286" s="33"/>
      <c r="G286" s="5" t="s">
        <v>140</v>
      </c>
      <c r="H286" s="6">
        <f>H287</f>
        <v>110000</v>
      </c>
      <c r="I286" s="6">
        <f t="shared" ref="I286:L288" si="111">I287</f>
        <v>109000</v>
      </c>
      <c r="J286" s="6">
        <f t="shared" si="111"/>
        <v>109000</v>
      </c>
      <c r="K286" s="6">
        <f t="shared" si="111"/>
        <v>102977.73</v>
      </c>
      <c r="L286" s="6">
        <f t="shared" si="111"/>
        <v>111782</v>
      </c>
    </row>
    <row r="287" spans="2:12" x14ac:dyDescent="0.25">
      <c r="B287" s="43">
        <f t="shared" si="110"/>
        <v>280</v>
      </c>
      <c r="C287" s="34">
        <v>220</v>
      </c>
      <c r="D287" s="34"/>
      <c r="E287" s="34"/>
      <c r="F287" s="34"/>
      <c r="G287" s="7" t="s">
        <v>35</v>
      </c>
      <c r="H287" s="8">
        <f>H288</f>
        <v>110000</v>
      </c>
      <c r="I287" s="8">
        <f t="shared" si="111"/>
        <v>109000</v>
      </c>
      <c r="J287" s="8">
        <f t="shared" si="111"/>
        <v>109000</v>
      </c>
      <c r="K287" s="8">
        <f t="shared" si="111"/>
        <v>102977.73</v>
      </c>
      <c r="L287" s="8">
        <f t="shared" si="111"/>
        <v>111782</v>
      </c>
    </row>
    <row r="288" spans="2:12" x14ac:dyDescent="0.25">
      <c r="B288" s="43">
        <f t="shared" si="110"/>
        <v>281</v>
      </c>
      <c r="C288" s="35"/>
      <c r="D288" s="35">
        <v>223</v>
      </c>
      <c r="E288" s="35"/>
      <c r="F288" s="35"/>
      <c r="G288" s="9" t="s">
        <v>41</v>
      </c>
      <c r="H288" s="10">
        <f>H289</f>
        <v>110000</v>
      </c>
      <c r="I288" s="10">
        <f t="shared" si="111"/>
        <v>109000</v>
      </c>
      <c r="J288" s="10">
        <f t="shared" si="111"/>
        <v>109000</v>
      </c>
      <c r="K288" s="10">
        <f t="shared" si="111"/>
        <v>102977.73</v>
      </c>
      <c r="L288" s="10">
        <f t="shared" si="111"/>
        <v>111782</v>
      </c>
    </row>
    <row r="289" spans="2:12" x14ac:dyDescent="0.25">
      <c r="B289" s="43">
        <f t="shared" si="110"/>
        <v>282</v>
      </c>
      <c r="C289" s="36"/>
      <c r="D289" s="36"/>
      <c r="E289" s="36">
        <v>223002</v>
      </c>
      <c r="F289" s="36"/>
      <c r="G289" s="12" t="s">
        <v>58</v>
      </c>
      <c r="H289" s="13">
        <v>110000</v>
      </c>
      <c r="I289" s="13">
        <v>109000</v>
      </c>
      <c r="J289" s="13">
        <v>109000</v>
      </c>
      <c r="K289" s="13">
        <v>102977.73</v>
      </c>
      <c r="L289" s="13">
        <v>111782</v>
      </c>
    </row>
    <row r="290" spans="2:12" x14ac:dyDescent="0.25">
      <c r="B290" s="43">
        <f t="shared" si="110"/>
        <v>283</v>
      </c>
      <c r="C290" s="33" t="s">
        <v>141</v>
      </c>
      <c r="D290" s="33"/>
      <c r="E290" s="33"/>
      <c r="F290" s="33"/>
      <c r="G290" s="5" t="s">
        <v>142</v>
      </c>
      <c r="H290" s="6">
        <f>H291</f>
        <v>9000</v>
      </c>
      <c r="I290" s="6">
        <f t="shared" ref="I290:L292" si="112">I291</f>
        <v>9000</v>
      </c>
      <c r="J290" s="6">
        <f t="shared" si="112"/>
        <v>9000</v>
      </c>
      <c r="K290" s="6">
        <f t="shared" si="112"/>
        <v>9508.67</v>
      </c>
      <c r="L290" s="6">
        <f t="shared" si="112"/>
        <v>9034</v>
      </c>
    </row>
    <row r="291" spans="2:12" x14ac:dyDescent="0.25">
      <c r="B291" s="43">
        <f t="shared" si="110"/>
        <v>284</v>
      </c>
      <c r="C291" s="34">
        <v>220</v>
      </c>
      <c r="D291" s="34"/>
      <c r="E291" s="34"/>
      <c r="F291" s="34"/>
      <c r="G291" s="7" t="s">
        <v>35</v>
      </c>
      <c r="H291" s="8">
        <f>H292</f>
        <v>9000</v>
      </c>
      <c r="I291" s="8">
        <f t="shared" si="112"/>
        <v>9000</v>
      </c>
      <c r="J291" s="8">
        <f t="shared" si="112"/>
        <v>9000</v>
      </c>
      <c r="K291" s="8">
        <f t="shared" si="112"/>
        <v>9508.67</v>
      </c>
      <c r="L291" s="8">
        <f t="shared" si="112"/>
        <v>9034</v>
      </c>
    </row>
    <row r="292" spans="2:12" x14ac:dyDescent="0.25">
      <c r="B292" s="43">
        <f t="shared" si="110"/>
        <v>285</v>
      </c>
      <c r="C292" s="35"/>
      <c r="D292" s="35">
        <v>223</v>
      </c>
      <c r="E292" s="35"/>
      <c r="F292" s="35"/>
      <c r="G292" s="9" t="s">
        <v>41</v>
      </c>
      <c r="H292" s="10">
        <f>H293</f>
        <v>9000</v>
      </c>
      <c r="I292" s="10">
        <f t="shared" si="112"/>
        <v>9000</v>
      </c>
      <c r="J292" s="10">
        <f t="shared" si="112"/>
        <v>9000</v>
      </c>
      <c r="K292" s="10">
        <f t="shared" si="112"/>
        <v>9508.67</v>
      </c>
      <c r="L292" s="10">
        <f t="shared" si="112"/>
        <v>9034</v>
      </c>
    </row>
    <row r="293" spans="2:12" x14ac:dyDescent="0.25">
      <c r="B293" s="43">
        <f t="shared" si="110"/>
        <v>286</v>
      </c>
      <c r="C293" s="36"/>
      <c r="D293" s="36"/>
      <c r="E293" s="36">
        <v>223003</v>
      </c>
      <c r="F293" s="36"/>
      <c r="G293" s="12" t="s">
        <v>101</v>
      </c>
      <c r="H293" s="13">
        <v>9000</v>
      </c>
      <c r="I293" s="13">
        <v>9000</v>
      </c>
      <c r="J293" s="13">
        <v>9000</v>
      </c>
      <c r="K293" s="13">
        <v>9508.67</v>
      </c>
      <c r="L293" s="13">
        <v>9034</v>
      </c>
    </row>
    <row r="294" spans="2:12" x14ac:dyDescent="0.25">
      <c r="B294" s="43">
        <f t="shared" si="110"/>
        <v>287</v>
      </c>
      <c r="C294" s="33" t="s">
        <v>143</v>
      </c>
      <c r="D294" s="33"/>
      <c r="E294" s="33"/>
      <c r="F294" s="33"/>
      <c r="G294" s="5" t="s">
        <v>144</v>
      </c>
      <c r="H294" s="6">
        <f>H295</f>
        <v>6600</v>
      </c>
      <c r="I294" s="6">
        <f t="shared" ref="I294:L296" si="113">I295</f>
        <v>6600</v>
      </c>
      <c r="J294" s="6">
        <f t="shared" si="113"/>
        <v>6600</v>
      </c>
      <c r="K294" s="6">
        <f t="shared" si="113"/>
        <v>6870.08</v>
      </c>
      <c r="L294" s="6">
        <f t="shared" si="113"/>
        <v>6374</v>
      </c>
    </row>
    <row r="295" spans="2:12" x14ac:dyDescent="0.25">
      <c r="B295" s="43">
        <f t="shared" si="110"/>
        <v>288</v>
      </c>
      <c r="C295" s="34">
        <v>220</v>
      </c>
      <c r="D295" s="34"/>
      <c r="E295" s="34"/>
      <c r="F295" s="34"/>
      <c r="G295" s="7" t="s">
        <v>35</v>
      </c>
      <c r="H295" s="8">
        <f>H296</f>
        <v>6600</v>
      </c>
      <c r="I295" s="8">
        <f t="shared" si="113"/>
        <v>6600</v>
      </c>
      <c r="J295" s="8">
        <f t="shared" si="113"/>
        <v>6600</v>
      </c>
      <c r="K295" s="8">
        <f t="shared" si="113"/>
        <v>6870.08</v>
      </c>
      <c r="L295" s="8">
        <f t="shared" si="113"/>
        <v>6374</v>
      </c>
    </row>
    <row r="296" spans="2:12" x14ac:dyDescent="0.25">
      <c r="B296" s="43">
        <f t="shared" si="110"/>
        <v>289</v>
      </c>
      <c r="C296" s="35"/>
      <c r="D296" s="35">
        <v>223</v>
      </c>
      <c r="E296" s="35"/>
      <c r="F296" s="35"/>
      <c r="G296" s="9" t="s">
        <v>41</v>
      </c>
      <c r="H296" s="10">
        <f>H297</f>
        <v>6600</v>
      </c>
      <c r="I296" s="10">
        <f t="shared" si="113"/>
        <v>6600</v>
      </c>
      <c r="J296" s="10">
        <f t="shared" si="113"/>
        <v>6600</v>
      </c>
      <c r="K296" s="10">
        <f t="shared" si="113"/>
        <v>6870.08</v>
      </c>
      <c r="L296" s="10">
        <f t="shared" si="113"/>
        <v>6374</v>
      </c>
    </row>
    <row r="297" spans="2:12" x14ac:dyDescent="0.25">
      <c r="B297" s="43">
        <f t="shared" si="110"/>
        <v>290</v>
      </c>
      <c r="C297" s="36"/>
      <c r="D297" s="36"/>
      <c r="E297" s="36">
        <v>223003</v>
      </c>
      <c r="F297" s="36"/>
      <c r="G297" s="12" t="s">
        <v>101</v>
      </c>
      <c r="H297" s="13">
        <v>6600</v>
      </c>
      <c r="I297" s="13">
        <v>6600</v>
      </c>
      <c r="J297" s="13">
        <v>6600</v>
      </c>
      <c r="K297" s="13">
        <v>6870.08</v>
      </c>
      <c r="L297" s="13">
        <v>6374</v>
      </c>
    </row>
    <row r="298" spans="2:12" x14ac:dyDescent="0.25">
      <c r="B298" s="43">
        <f t="shared" si="110"/>
        <v>291</v>
      </c>
      <c r="C298" s="33" t="s">
        <v>145</v>
      </c>
      <c r="D298" s="33"/>
      <c r="E298" s="33"/>
      <c r="F298" s="33"/>
      <c r="G298" s="5" t="s">
        <v>146</v>
      </c>
      <c r="H298" s="6">
        <f>H299</f>
        <v>1000</v>
      </c>
      <c r="I298" s="6">
        <f t="shared" ref="I298:L300" si="114">I299</f>
        <v>1000</v>
      </c>
      <c r="J298" s="6">
        <f t="shared" si="114"/>
        <v>1000</v>
      </c>
      <c r="K298" s="6">
        <f t="shared" si="114"/>
        <v>1245.95</v>
      </c>
      <c r="L298" s="6">
        <f t="shared" si="114"/>
        <v>1142</v>
      </c>
    </row>
    <row r="299" spans="2:12" x14ac:dyDescent="0.25">
      <c r="B299" s="43">
        <f t="shared" si="110"/>
        <v>292</v>
      </c>
      <c r="C299" s="34">
        <v>220</v>
      </c>
      <c r="D299" s="34"/>
      <c r="E299" s="34"/>
      <c r="F299" s="34"/>
      <c r="G299" s="7" t="s">
        <v>35</v>
      </c>
      <c r="H299" s="8">
        <f>H300</f>
        <v>1000</v>
      </c>
      <c r="I299" s="8">
        <f t="shared" si="114"/>
        <v>1000</v>
      </c>
      <c r="J299" s="8">
        <f t="shared" si="114"/>
        <v>1000</v>
      </c>
      <c r="K299" s="8">
        <f t="shared" si="114"/>
        <v>1245.95</v>
      </c>
      <c r="L299" s="8">
        <f t="shared" si="114"/>
        <v>1142</v>
      </c>
    </row>
    <row r="300" spans="2:12" x14ac:dyDescent="0.25">
      <c r="B300" s="43">
        <f t="shared" si="110"/>
        <v>293</v>
      </c>
      <c r="C300" s="35"/>
      <c r="D300" s="35">
        <v>223</v>
      </c>
      <c r="E300" s="35"/>
      <c r="F300" s="35"/>
      <c r="G300" s="9" t="s">
        <v>41</v>
      </c>
      <c r="H300" s="10">
        <f>H301</f>
        <v>1000</v>
      </c>
      <c r="I300" s="10">
        <f t="shared" si="114"/>
        <v>1000</v>
      </c>
      <c r="J300" s="10">
        <f t="shared" si="114"/>
        <v>1000</v>
      </c>
      <c r="K300" s="10">
        <f t="shared" si="114"/>
        <v>1245.95</v>
      </c>
      <c r="L300" s="10">
        <f t="shared" si="114"/>
        <v>1142</v>
      </c>
    </row>
    <row r="301" spans="2:12" x14ac:dyDescent="0.25">
      <c r="B301" s="43">
        <f t="shared" si="110"/>
        <v>294</v>
      </c>
      <c r="C301" s="36"/>
      <c r="D301" s="36"/>
      <c r="E301" s="36">
        <v>223003</v>
      </c>
      <c r="F301" s="36"/>
      <c r="G301" s="12" t="s">
        <v>101</v>
      </c>
      <c r="H301" s="13">
        <v>1000</v>
      </c>
      <c r="I301" s="13">
        <v>1000</v>
      </c>
      <c r="J301" s="13">
        <v>1000</v>
      </c>
      <c r="K301" s="13">
        <v>1245.95</v>
      </c>
      <c r="L301" s="13">
        <v>1142</v>
      </c>
    </row>
    <row r="302" spans="2:12" x14ac:dyDescent="0.25">
      <c r="B302" s="43">
        <f t="shared" si="110"/>
        <v>295</v>
      </c>
      <c r="C302" s="33" t="s">
        <v>147</v>
      </c>
      <c r="D302" s="33"/>
      <c r="E302" s="33"/>
      <c r="F302" s="33"/>
      <c r="G302" s="5" t="s">
        <v>148</v>
      </c>
      <c r="H302" s="6">
        <f>H303</f>
        <v>2000</v>
      </c>
      <c r="I302" s="6">
        <f t="shared" ref="I302:L304" si="115">I303</f>
        <v>2000</v>
      </c>
      <c r="J302" s="6">
        <f t="shared" si="115"/>
        <v>2000</v>
      </c>
      <c r="K302" s="6">
        <f t="shared" si="115"/>
        <v>1831.5</v>
      </c>
      <c r="L302" s="6">
        <f t="shared" si="115"/>
        <v>1490</v>
      </c>
    </row>
    <row r="303" spans="2:12" x14ac:dyDescent="0.25">
      <c r="B303" s="43">
        <f t="shared" si="110"/>
        <v>296</v>
      </c>
      <c r="C303" s="34">
        <v>220</v>
      </c>
      <c r="D303" s="34"/>
      <c r="E303" s="34"/>
      <c r="F303" s="34"/>
      <c r="G303" s="7" t="s">
        <v>35</v>
      </c>
      <c r="H303" s="8">
        <f>H304</f>
        <v>2000</v>
      </c>
      <c r="I303" s="8">
        <f t="shared" si="115"/>
        <v>2000</v>
      </c>
      <c r="J303" s="8">
        <f t="shared" si="115"/>
        <v>2000</v>
      </c>
      <c r="K303" s="8">
        <f t="shared" si="115"/>
        <v>1831.5</v>
      </c>
      <c r="L303" s="8">
        <f t="shared" si="115"/>
        <v>1490</v>
      </c>
    </row>
    <row r="304" spans="2:12" x14ac:dyDescent="0.25">
      <c r="B304" s="43">
        <f t="shared" si="110"/>
        <v>297</v>
      </c>
      <c r="C304" s="35"/>
      <c r="D304" s="35">
        <v>223</v>
      </c>
      <c r="E304" s="35"/>
      <c r="F304" s="35"/>
      <c r="G304" s="9" t="s">
        <v>41</v>
      </c>
      <c r="H304" s="10">
        <f>H305</f>
        <v>2000</v>
      </c>
      <c r="I304" s="10">
        <f t="shared" si="115"/>
        <v>2000</v>
      </c>
      <c r="J304" s="10">
        <f t="shared" si="115"/>
        <v>2000</v>
      </c>
      <c r="K304" s="10">
        <f t="shared" si="115"/>
        <v>1831.5</v>
      </c>
      <c r="L304" s="10">
        <f t="shared" si="115"/>
        <v>1490</v>
      </c>
    </row>
    <row r="305" spans="2:12" x14ac:dyDescent="0.25">
      <c r="B305" s="43">
        <f t="shared" si="110"/>
        <v>298</v>
      </c>
      <c r="C305" s="36"/>
      <c r="D305" s="36"/>
      <c r="E305" s="36">
        <v>223001</v>
      </c>
      <c r="F305" s="36"/>
      <c r="G305" s="12" t="s">
        <v>42</v>
      </c>
      <c r="H305" s="13">
        <v>2000</v>
      </c>
      <c r="I305" s="13">
        <v>2000</v>
      </c>
      <c r="J305" s="13">
        <v>2000</v>
      </c>
      <c r="K305" s="13">
        <v>1831.5</v>
      </c>
      <c r="L305" s="13">
        <v>1490</v>
      </c>
    </row>
    <row r="306" spans="2:12" x14ac:dyDescent="0.25">
      <c r="B306" s="43">
        <f t="shared" si="110"/>
        <v>299</v>
      </c>
      <c r="C306" s="33" t="s">
        <v>149</v>
      </c>
      <c r="D306" s="33"/>
      <c r="E306" s="33"/>
      <c r="F306" s="33"/>
      <c r="G306" s="5" t="s">
        <v>150</v>
      </c>
      <c r="H306" s="6">
        <f>H307</f>
        <v>5800</v>
      </c>
      <c r="I306" s="6">
        <f t="shared" ref="I306:L308" si="116">I307</f>
        <v>2200</v>
      </c>
      <c r="J306" s="6">
        <f t="shared" si="116"/>
        <v>5800</v>
      </c>
      <c r="K306" s="6">
        <f t="shared" si="116"/>
        <v>1703</v>
      </c>
      <c r="L306" s="6">
        <f t="shared" si="116"/>
        <v>2000</v>
      </c>
    </row>
    <row r="307" spans="2:12" x14ac:dyDescent="0.25">
      <c r="B307" s="43">
        <f t="shared" si="110"/>
        <v>300</v>
      </c>
      <c r="C307" s="34">
        <v>220</v>
      </c>
      <c r="D307" s="34"/>
      <c r="E307" s="34"/>
      <c r="F307" s="34"/>
      <c r="G307" s="7" t="s">
        <v>35</v>
      </c>
      <c r="H307" s="8">
        <f>H308</f>
        <v>5800</v>
      </c>
      <c r="I307" s="8">
        <f t="shared" si="116"/>
        <v>2200</v>
      </c>
      <c r="J307" s="8">
        <f t="shared" si="116"/>
        <v>5800</v>
      </c>
      <c r="K307" s="8">
        <f t="shared" si="116"/>
        <v>1703</v>
      </c>
      <c r="L307" s="8">
        <f t="shared" si="116"/>
        <v>2000</v>
      </c>
    </row>
    <row r="308" spans="2:12" x14ac:dyDescent="0.25">
      <c r="B308" s="43">
        <f t="shared" si="110"/>
        <v>301</v>
      </c>
      <c r="C308" s="35"/>
      <c r="D308" s="35">
        <v>223</v>
      </c>
      <c r="E308" s="35"/>
      <c r="F308" s="35"/>
      <c r="G308" s="9" t="s">
        <v>41</v>
      </c>
      <c r="H308" s="10">
        <f>H309</f>
        <v>5800</v>
      </c>
      <c r="I308" s="10">
        <f t="shared" si="116"/>
        <v>2200</v>
      </c>
      <c r="J308" s="10">
        <f t="shared" si="116"/>
        <v>5800</v>
      </c>
      <c r="K308" s="10">
        <f t="shared" si="116"/>
        <v>1703</v>
      </c>
      <c r="L308" s="10">
        <f t="shared" si="116"/>
        <v>2000</v>
      </c>
    </row>
    <row r="309" spans="2:12" x14ac:dyDescent="0.25">
      <c r="B309" s="43">
        <f t="shared" si="110"/>
        <v>302</v>
      </c>
      <c r="C309" s="36"/>
      <c r="D309" s="36"/>
      <c r="E309" s="36">
        <v>223001</v>
      </c>
      <c r="F309" s="36"/>
      <c r="G309" s="12" t="s">
        <v>42</v>
      </c>
      <c r="H309" s="13">
        <v>5800</v>
      </c>
      <c r="I309" s="13">
        <v>2200</v>
      </c>
      <c r="J309" s="13">
        <v>5800</v>
      </c>
      <c r="K309" s="13">
        <v>1703</v>
      </c>
      <c r="L309" s="13">
        <v>2000</v>
      </c>
    </row>
    <row r="310" spans="2:12" x14ac:dyDescent="0.25">
      <c r="B310" s="43">
        <f t="shared" si="110"/>
        <v>303</v>
      </c>
      <c r="C310" s="33" t="s">
        <v>151</v>
      </c>
      <c r="D310" s="33"/>
      <c r="E310" s="33"/>
      <c r="F310" s="33"/>
      <c r="G310" s="5" t="s">
        <v>152</v>
      </c>
      <c r="H310" s="6">
        <f>H311</f>
        <v>3600</v>
      </c>
      <c r="I310" s="6">
        <f t="shared" ref="I310:L312" si="117">I311</f>
        <v>3600</v>
      </c>
      <c r="J310" s="6">
        <f t="shared" si="117"/>
        <v>3600</v>
      </c>
      <c r="K310" s="6">
        <f t="shared" si="117"/>
        <v>3955.2</v>
      </c>
      <c r="L310" s="6">
        <f t="shared" si="117"/>
        <v>3599</v>
      </c>
    </row>
    <row r="311" spans="2:12" x14ac:dyDescent="0.25">
      <c r="B311" s="43">
        <f t="shared" si="110"/>
        <v>304</v>
      </c>
      <c r="C311" s="34">
        <v>210</v>
      </c>
      <c r="D311" s="34"/>
      <c r="E311" s="34"/>
      <c r="F311" s="34"/>
      <c r="G311" s="7" t="s">
        <v>28</v>
      </c>
      <c r="H311" s="8">
        <f>H312</f>
        <v>3600</v>
      </c>
      <c r="I311" s="8">
        <f t="shared" si="117"/>
        <v>3600</v>
      </c>
      <c r="J311" s="8">
        <f t="shared" si="117"/>
        <v>3600</v>
      </c>
      <c r="K311" s="8">
        <f t="shared" si="117"/>
        <v>3955.2</v>
      </c>
      <c r="L311" s="8">
        <f t="shared" si="117"/>
        <v>3599</v>
      </c>
    </row>
    <row r="312" spans="2:12" x14ac:dyDescent="0.25">
      <c r="B312" s="43">
        <f t="shared" si="110"/>
        <v>305</v>
      </c>
      <c r="C312" s="35"/>
      <c r="D312" s="35">
        <v>212</v>
      </c>
      <c r="E312" s="35"/>
      <c r="F312" s="35"/>
      <c r="G312" s="9" t="s">
        <v>31</v>
      </c>
      <c r="H312" s="10">
        <f>H313</f>
        <v>3600</v>
      </c>
      <c r="I312" s="10">
        <f t="shared" si="117"/>
        <v>3600</v>
      </c>
      <c r="J312" s="10">
        <f t="shared" si="117"/>
        <v>3600</v>
      </c>
      <c r="K312" s="10">
        <f t="shared" si="117"/>
        <v>3955.2</v>
      </c>
      <c r="L312" s="10">
        <f t="shared" si="117"/>
        <v>3599</v>
      </c>
    </row>
    <row r="313" spans="2:12" x14ac:dyDescent="0.25">
      <c r="B313" s="43">
        <f t="shared" si="110"/>
        <v>306</v>
      </c>
      <c r="C313" s="36"/>
      <c r="D313" s="36"/>
      <c r="E313" s="36">
        <v>212003</v>
      </c>
      <c r="F313" s="36"/>
      <c r="G313" s="12" t="s">
        <v>33</v>
      </c>
      <c r="H313" s="13">
        <v>3600</v>
      </c>
      <c r="I313" s="13">
        <v>3600</v>
      </c>
      <c r="J313" s="13">
        <v>3600</v>
      </c>
      <c r="K313" s="13">
        <v>3955.2</v>
      </c>
      <c r="L313" s="13">
        <v>3599</v>
      </c>
    </row>
    <row r="314" spans="2:12" x14ac:dyDescent="0.25">
      <c r="B314" s="43">
        <f t="shared" si="110"/>
        <v>307</v>
      </c>
      <c r="C314" s="33" t="s">
        <v>153</v>
      </c>
      <c r="D314" s="33"/>
      <c r="E314" s="33"/>
      <c r="F314" s="33"/>
      <c r="G314" s="5" t="s">
        <v>154</v>
      </c>
      <c r="H314" s="6">
        <f>H315</f>
        <v>108000</v>
      </c>
      <c r="I314" s="6">
        <f t="shared" ref="I314:L316" si="118">I315</f>
        <v>108000</v>
      </c>
      <c r="J314" s="6">
        <f t="shared" si="118"/>
        <v>108000</v>
      </c>
      <c r="K314" s="6">
        <f t="shared" si="118"/>
        <v>113974.26</v>
      </c>
      <c r="L314" s="6">
        <f t="shared" si="118"/>
        <v>110125</v>
      </c>
    </row>
    <row r="315" spans="2:12" x14ac:dyDescent="0.25">
      <c r="B315" s="43">
        <f t="shared" si="110"/>
        <v>308</v>
      </c>
      <c r="C315" s="34">
        <v>220</v>
      </c>
      <c r="D315" s="34"/>
      <c r="E315" s="34"/>
      <c r="F315" s="34"/>
      <c r="G315" s="7" t="s">
        <v>35</v>
      </c>
      <c r="H315" s="8">
        <f>H316</f>
        <v>108000</v>
      </c>
      <c r="I315" s="8">
        <f t="shared" si="118"/>
        <v>108000</v>
      </c>
      <c r="J315" s="8">
        <f t="shared" si="118"/>
        <v>108000</v>
      </c>
      <c r="K315" s="8">
        <f t="shared" si="118"/>
        <v>113974.26</v>
      </c>
      <c r="L315" s="8">
        <f t="shared" si="118"/>
        <v>110125</v>
      </c>
    </row>
    <row r="316" spans="2:12" x14ac:dyDescent="0.25">
      <c r="B316" s="43">
        <f t="shared" ref="B316:B379" si="119">B315+1</f>
        <v>309</v>
      </c>
      <c r="C316" s="35"/>
      <c r="D316" s="35">
        <v>223</v>
      </c>
      <c r="E316" s="35"/>
      <c r="F316" s="35"/>
      <c r="G316" s="9" t="s">
        <v>41</v>
      </c>
      <c r="H316" s="10">
        <f>H317</f>
        <v>108000</v>
      </c>
      <c r="I316" s="10">
        <f t="shared" si="118"/>
        <v>108000</v>
      </c>
      <c r="J316" s="10">
        <f t="shared" si="118"/>
        <v>108000</v>
      </c>
      <c r="K316" s="10">
        <f t="shared" si="118"/>
        <v>113974.26</v>
      </c>
      <c r="L316" s="10">
        <f t="shared" si="118"/>
        <v>110125</v>
      </c>
    </row>
    <row r="317" spans="2:12" x14ac:dyDescent="0.25">
      <c r="B317" s="43">
        <f t="shared" si="119"/>
        <v>310</v>
      </c>
      <c r="C317" s="36"/>
      <c r="D317" s="36"/>
      <c r="E317" s="36">
        <v>223001</v>
      </c>
      <c r="F317" s="36"/>
      <c r="G317" s="12" t="s">
        <v>42</v>
      </c>
      <c r="H317" s="13">
        <v>108000</v>
      </c>
      <c r="I317" s="13">
        <v>108000</v>
      </c>
      <c r="J317" s="13">
        <v>108000</v>
      </c>
      <c r="K317" s="13">
        <v>113974.26</v>
      </c>
      <c r="L317" s="13">
        <v>110125</v>
      </c>
    </row>
    <row r="318" spans="2:12" x14ac:dyDescent="0.25">
      <c r="B318" s="43">
        <f t="shared" si="119"/>
        <v>311</v>
      </c>
      <c r="C318" s="33" t="s">
        <v>155</v>
      </c>
      <c r="D318" s="33"/>
      <c r="E318" s="33"/>
      <c r="F318" s="33"/>
      <c r="G318" s="5" t="s">
        <v>156</v>
      </c>
      <c r="H318" s="6">
        <f>H319</f>
        <v>21300</v>
      </c>
      <c r="I318" s="6">
        <f t="shared" ref="I318:L320" si="120">I319</f>
        <v>21100</v>
      </c>
      <c r="J318" s="6">
        <f t="shared" si="120"/>
        <v>21100</v>
      </c>
      <c r="K318" s="6">
        <f t="shared" si="120"/>
        <v>28722.97</v>
      </c>
      <c r="L318" s="6">
        <f t="shared" si="120"/>
        <v>24163</v>
      </c>
    </row>
    <row r="319" spans="2:12" x14ac:dyDescent="0.25">
      <c r="B319" s="43">
        <f t="shared" si="119"/>
        <v>312</v>
      </c>
      <c r="C319" s="34">
        <v>220</v>
      </c>
      <c r="D319" s="34"/>
      <c r="E319" s="34"/>
      <c r="F319" s="34"/>
      <c r="G319" s="7" t="s">
        <v>35</v>
      </c>
      <c r="H319" s="8">
        <f>H320</f>
        <v>21300</v>
      </c>
      <c r="I319" s="8">
        <f t="shared" si="120"/>
        <v>21100</v>
      </c>
      <c r="J319" s="8">
        <f t="shared" si="120"/>
        <v>21100</v>
      </c>
      <c r="K319" s="8">
        <f t="shared" si="120"/>
        <v>28722.97</v>
      </c>
      <c r="L319" s="8">
        <f t="shared" si="120"/>
        <v>24163</v>
      </c>
    </row>
    <row r="320" spans="2:12" x14ac:dyDescent="0.25">
      <c r="B320" s="43">
        <f t="shared" si="119"/>
        <v>313</v>
      </c>
      <c r="C320" s="35"/>
      <c r="D320" s="35">
        <v>223</v>
      </c>
      <c r="E320" s="35"/>
      <c r="F320" s="35"/>
      <c r="G320" s="9" t="s">
        <v>41</v>
      </c>
      <c r="H320" s="10">
        <f>H321</f>
        <v>21300</v>
      </c>
      <c r="I320" s="10">
        <f t="shared" si="120"/>
        <v>21100</v>
      </c>
      <c r="J320" s="10">
        <f t="shared" si="120"/>
        <v>21100</v>
      </c>
      <c r="K320" s="10">
        <f t="shared" si="120"/>
        <v>28722.97</v>
      </c>
      <c r="L320" s="10">
        <f t="shared" si="120"/>
        <v>24163</v>
      </c>
    </row>
    <row r="321" spans="2:12" x14ac:dyDescent="0.25">
      <c r="B321" s="43">
        <f t="shared" si="119"/>
        <v>314</v>
      </c>
      <c r="C321" s="36"/>
      <c r="D321" s="36"/>
      <c r="E321" s="36">
        <v>223001</v>
      </c>
      <c r="F321" s="36"/>
      <c r="G321" s="12" t="s">
        <v>42</v>
      </c>
      <c r="H321" s="13">
        <v>21300</v>
      </c>
      <c r="I321" s="13">
        <v>21100</v>
      </c>
      <c r="J321" s="13">
        <v>21100</v>
      </c>
      <c r="K321" s="13">
        <v>28722.97</v>
      </c>
      <c r="L321" s="13">
        <v>24163</v>
      </c>
    </row>
    <row r="322" spans="2:12" x14ac:dyDescent="0.25">
      <c r="B322" s="43">
        <f t="shared" si="119"/>
        <v>315</v>
      </c>
      <c r="C322" s="33" t="s">
        <v>157</v>
      </c>
      <c r="D322" s="33"/>
      <c r="E322" s="33"/>
      <c r="F322" s="33"/>
      <c r="G322" s="5" t="s">
        <v>158</v>
      </c>
      <c r="H322" s="6">
        <f>H323</f>
        <v>500</v>
      </c>
      <c r="I322" s="6">
        <f t="shared" ref="I322:L324" si="121">I323</f>
        <v>1000</v>
      </c>
      <c r="J322" s="6">
        <f t="shared" si="121"/>
        <v>1000</v>
      </c>
      <c r="K322" s="6">
        <f t="shared" si="121"/>
        <v>977.7</v>
      </c>
      <c r="L322" s="6">
        <f t="shared" si="121"/>
        <v>1136</v>
      </c>
    </row>
    <row r="323" spans="2:12" x14ac:dyDescent="0.25">
      <c r="B323" s="43">
        <f t="shared" si="119"/>
        <v>316</v>
      </c>
      <c r="C323" s="34">
        <v>210</v>
      </c>
      <c r="D323" s="34"/>
      <c r="E323" s="34"/>
      <c r="F323" s="34"/>
      <c r="G323" s="7" t="s">
        <v>28</v>
      </c>
      <c r="H323" s="8">
        <f>H324</f>
        <v>500</v>
      </c>
      <c r="I323" s="8">
        <f t="shared" si="121"/>
        <v>1000</v>
      </c>
      <c r="J323" s="8">
        <f t="shared" si="121"/>
        <v>1000</v>
      </c>
      <c r="K323" s="8">
        <f t="shared" si="121"/>
        <v>977.7</v>
      </c>
      <c r="L323" s="8">
        <f t="shared" si="121"/>
        <v>1136</v>
      </c>
    </row>
    <row r="324" spans="2:12" x14ac:dyDescent="0.25">
      <c r="B324" s="43">
        <f t="shared" si="119"/>
        <v>317</v>
      </c>
      <c r="C324" s="35"/>
      <c r="D324" s="35">
        <v>212</v>
      </c>
      <c r="E324" s="35"/>
      <c r="F324" s="35"/>
      <c r="G324" s="9" t="s">
        <v>31</v>
      </c>
      <c r="H324" s="10">
        <f>H325</f>
        <v>500</v>
      </c>
      <c r="I324" s="10">
        <f t="shared" si="121"/>
        <v>1000</v>
      </c>
      <c r="J324" s="10">
        <f t="shared" si="121"/>
        <v>1000</v>
      </c>
      <c r="K324" s="10">
        <f t="shared" si="121"/>
        <v>977.7</v>
      </c>
      <c r="L324" s="10">
        <f t="shared" si="121"/>
        <v>1136</v>
      </c>
    </row>
    <row r="325" spans="2:12" x14ac:dyDescent="0.25">
      <c r="B325" s="43">
        <f t="shared" si="119"/>
        <v>318</v>
      </c>
      <c r="C325" s="36"/>
      <c r="D325" s="36"/>
      <c r="E325" s="36">
        <v>212003</v>
      </c>
      <c r="F325" s="36"/>
      <c r="G325" s="12" t="s">
        <v>33</v>
      </c>
      <c r="H325" s="13">
        <v>500</v>
      </c>
      <c r="I325" s="13">
        <v>1000</v>
      </c>
      <c r="J325" s="13">
        <v>1000</v>
      </c>
      <c r="K325" s="13">
        <v>977.7</v>
      </c>
      <c r="L325" s="13">
        <v>1136</v>
      </c>
    </row>
    <row r="326" spans="2:12" x14ac:dyDescent="0.25">
      <c r="B326" s="43">
        <f t="shared" si="119"/>
        <v>319</v>
      </c>
      <c r="C326" s="33" t="s">
        <v>159</v>
      </c>
      <c r="D326" s="33"/>
      <c r="E326" s="33"/>
      <c r="F326" s="33"/>
      <c r="G326" s="5" t="s">
        <v>160</v>
      </c>
      <c r="H326" s="6">
        <f>H327</f>
        <v>45000</v>
      </c>
      <c r="I326" s="6">
        <f t="shared" ref="I326:L328" si="122">I327</f>
        <v>191200</v>
      </c>
      <c r="J326" s="6">
        <f t="shared" si="122"/>
        <v>191200</v>
      </c>
      <c r="K326" s="6">
        <f t="shared" si="122"/>
        <v>46084.74</v>
      </c>
      <c r="L326" s="6">
        <f t="shared" si="122"/>
        <v>191342</v>
      </c>
    </row>
    <row r="327" spans="2:12" x14ac:dyDescent="0.25">
      <c r="B327" s="43">
        <f t="shared" si="119"/>
        <v>320</v>
      </c>
      <c r="C327" s="34">
        <v>220</v>
      </c>
      <c r="D327" s="34"/>
      <c r="E327" s="34"/>
      <c r="F327" s="34"/>
      <c r="G327" s="7" t="s">
        <v>35</v>
      </c>
      <c r="H327" s="8">
        <f>H328</f>
        <v>45000</v>
      </c>
      <c r="I327" s="8">
        <f t="shared" si="122"/>
        <v>191200</v>
      </c>
      <c r="J327" s="8">
        <f t="shared" si="122"/>
        <v>191200</v>
      </c>
      <c r="K327" s="8">
        <f t="shared" si="122"/>
        <v>46084.74</v>
      </c>
      <c r="L327" s="8">
        <f t="shared" si="122"/>
        <v>191342</v>
      </c>
    </row>
    <row r="328" spans="2:12" x14ac:dyDescent="0.25">
      <c r="B328" s="43">
        <f t="shared" si="119"/>
        <v>321</v>
      </c>
      <c r="C328" s="35"/>
      <c r="D328" s="35">
        <v>223</v>
      </c>
      <c r="E328" s="35"/>
      <c r="F328" s="35"/>
      <c r="G328" s="9" t="s">
        <v>41</v>
      </c>
      <c r="H328" s="10">
        <f>H329</f>
        <v>45000</v>
      </c>
      <c r="I328" s="10">
        <f t="shared" si="122"/>
        <v>191200</v>
      </c>
      <c r="J328" s="10">
        <f t="shared" si="122"/>
        <v>191200</v>
      </c>
      <c r="K328" s="10">
        <f t="shared" si="122"/>
        <v>46084.74</v>
      </c>
      <c r="L328" s="10">
        <f t="shared" si="122"/>
        <v>191342</v>
      </c>
    </row>
    <row r="329" spans="2:12" x14ac:dyDescent="0.25">
      <c r="B329" s="43">
        <f t="shared" si="119"/>
        <v>322</v>
      </c>
      <c r="C329" s="36"/>
      <c r="D329" s="36"/>
      <c r="E329" s="36">
        <v>223001</v>
      </c>
      <c r="F329" s="36"/>
      <c r="G329" s="12" t="s">
        <v>42</v>
      </c>
      <c r="H329" s="13">
        <v>45000</v>
      </c>
      <c r="I329" s="13">
        <v>191200</v>
      </c>
      <c r="J329" s="13">
        <v>191200</v>
      </c>
      <c r="K329" s="13">
        <v>46084.74</v>
      </c>
      <c r="L329" s="13">
        <v>191342</v>
      </c>
    </row>
    <row r="330" spans="2:12" x14ac:dyDescent="0.25">
      <c r="B330" s="43">
        <f t="shared" si="119"/>
        <v>323</v>
      </c>
      <c r="C330" s="33" t="s">
        <v>161</v>
      </c>
      <c r="D330" s="33"/>
      <c r="E330" s="33"/>
      <c r="F330" s="33"/>
      <c r="G330" s="5" t="s">
        <v>162</v>
      </c>
      <c r="H330" s="6">
        <f>H331</f>
        <v>53500</v>
      </c>
      <c r="I330" s="6">
        <f t="shared" ref="I330:L332" si="123">I331</f>
        <v>0</v>
      </c>
      <c r="J330" s="6">
        <f t="shared" si="123"/>
        <v>0</v>
      </c>
      <c r="K330" s="6">
        <f t="shared" si="123"/>
        <v>52718.18</v>
      </c>
      <c r="L330" s="6">
        <f t="shared" si="123"/>
        <v>0</v>
      </c>
    </row>
    <row r="331" spans="2:12" x14ac:dyDescent="0.25">
      <c r="B331" s="43">
        <f t="shared" si="119"/>
        <v>324</v>
      </c>
      <c r="C331" s="34">
        <v>220</v>
      </c>
      <c r="D331" s="34"/>
      <c r="E331" s="34"/>
      <c r="F331" s="34"/>
      <c r="G331" s="7" t="s">
        <v>35</v>
      </c>
      <c r="H331" s="8">
        <f>H332</f>
        <v>53500</v>
      </c>
      <c r="I331" s="8">
        <f t="shared" si="123"/>
        <v>0</v>
      </c>
      <c r="J331" s="8">
        <f t="shared" si="123"/>
        <v>0</v>
      </c>
      <c r="K331" s="8">
        <f t="shared" si="123"/>
        <v>52718.18</v>
      </c>
      <c r="L331" s="8">
        <f t="shared" si="123"/>
        <v>0</v>
      </c>
    </row>
    <row r="332" spans="2:12" x14ac:dyDescent="0.25">
      <c r="B332" s="43">
        <f t="shared" si="119"/>
        <v>325</v>
      </c>
      <c r="C332" s="35"/>
      <c r="D332" s="35">
        <v>223</v>
      </c>
      <c r="E332" s="35"/>
      <c r="F332" s="35"/>
      <c r="G332" s="9" t="s">
        <v>41</v>
      </c>
      <c r="H332" s="10">
        <f>H333</f>
        <v>53500</v>
      </c>
      <c r="I332" s="10">
        <f t="shared" si="123"/>
        <v>0</v>
      </c>
      <c r="J332" s="10">
        <f t="shared" si="123"/>
        <v>0</v>
      </c>
      <c r="K332" s="10">
        <f t="shared" si="123"/>
        <v>52718.18</v>
      </c>
      <c r="L332" s="10">
        <f t="shared" si="123"/>
        <v>0</v>
      </c>
    </row>
    <row r="333" spans="2:12" x14ac:dyDescent="0.25">
      <c r="B333" s="43">
        <f t="shared" si="119"/>
        <v>326</v>
      </c>
      <c r="C333" s="36"/>
      <c r="D333" s="36"/>
      <c r="E333" s="36">
        <v>223001</v>
      </c>
      <c r="F333" s="36"/>
      <c r="G333" s="12" t="s">
        <v>42</v>
      </c>
      <c r="H333" s="13">
        <v>53500</v>
      </c>
      <c r="I333" s="13">
        <v>0</v>
      </c>
      <c r="J333" s="13"/>
      <c r="K333" s="13">
        <v>52718.18</v>
      </c>
      <c r="L333" s="13">
        <v>0</v>
      </c>
    </row>
    <row r="334" spans="2:12" x14ac:dyDescent="0.25">
      <c r="B334" s="43">
        <f t="shared" si="119"/>
        <v>327</v>
      </c>
      <c r="C334" s="33" t="s">
        <v>163</v>
      </c>
      <c r="D334" s="33"/>
      <c r="E334" s="33"/>
      <c r="F334" s="33"/>
      <c r="G334" s="5" t="s">
        <v>164</v>
      </c>
      <c r="H334" s="6">
        <f>H335</f>
        <v>92700</v>
      </c>
      <c r="I334" s="6">
        <f t="shared" ref="I334:L336" si="124">I335</f>
        <v>0</v>
      </c>
      <c r="J334" s="6">
        <f t="shared" si="124"/>
        <v>0</v>
      </c>
      <c r="K334" s="6">
        <f t="shared" si="124"/>
        <v>96917.03</v>
      </c>
      <c r="L334" s="6">
        <f t="shared" si="124"/>
        <v>0</v>
      </c>
    </row>
    <row r="335" spans="2:12" x14ac:dyDescent="0.25">
      <c r="B335" s="43">
        <f t="shared" si="119"/>
        <v>328</v>
      </c>
      <c r="C335" s="34">
        <v>220</v>
      </c>
      <c r="D335" s="34"/>
      <c r="E335" s="34"/>
      <c r="F335" s="34"/>
      <c r="G335" s="7" t="s">
        <v>35</v>
      </c>
      <c r="H335" s="8">
        <f>H336</f>
        <v>92700</v>
      </c>
      <c r="I335" s="8">
        <f t="shared" si="124"/>
        <v>0</v>
      </c>
      <c r="J335" s="8">
        <f t="shared" si="124"/>
        <v>0</v>
      </c>
      <c r="K335" s="8">
        <f t="shared" si="124"/>
        <v>96917.03</v>
      </c>
      <c r="L335" s="8">
        <f t="shared" si="124"/>
        <v>0</v>
      </c>
    </row>
    <row r="336" spans="2:12" x14ac:dyDescent="0.25">
      <c r="B336" s="43">
        <f t="shared" si="119"/>
        <v>329</v>
      </c>
      <c r="C336" s="35"/>
      <c r="D336" s="35">
        <v>223</v>
      </c>
      <c r="E336" s="35"/>
      <c r="F336" s="35"/>
      <c r="G336" s="9" t="s">
        <v>41</v>
      </c>
      <c r="H336" s="10">
        <f>H337</f>
        <v>92700</v>
      </c>
      <c r="I336" s="10">
        <f t="shared" si="124"/>
        <v>0</v>
      </c>
      <c r="J336" s="10">
        <f t="shared" si="124"/>
        <v>0</v>
      </c>
      <c r="K336" s="10">
        <f t="shared" si="124"/>
        <v>96917.03</v>
      </c>
      <c r="L336" s="10">
        <f t="shared" si="124"/>
        <v>0</v>
      </c>
    </row>
    <row r="337" spans="2:12" x14ac:dyDescent="0.25">
      <c r="B337" s="43">
        <f t="shared" si="119"/>
        <v>330</v>
      </c>
      <c r="C337" s="36"/>
      <c r="D337" s="36"/>
      <c r="E337" s="36">
        <v>223001</v>
      </c>
      <c r="F337" s="36"/>
      <c r="G337" s="12" t="s">
        <v>42</v>
      </c>
      <c r="H337" s="13">
        <v>92700</v>
      </c>
      <c r="I337" s="13">
        <v>0</v>
      </c>
      <c r="J337" s="13"/>
      <c r="K337" s="13">
        <v>96917.03</v>
      </c>
      <c r="L337" s="13">
        <v>0</v>
      </c>
    </row>
    <row r="338" spans="2:12" x14ac:dyDescent="0.25">
      <c r="B338" s="43">
        <f t="shared" si="119"/>
        <v>331</v>
      </c>
      <c r="C338" s="33" t="s">
        <v>165</v>
      </c>
      <c r="D338" s="33"/>
      <c r="E338" s="33"/>
      <c r="F338" s="33"/>
      <c r="G338" s="5" t="s">
        <v>166</v>
      </c>
      <c r="H338" s="6">
        <f>H339</f>
        <v>400</v>
      </c>
      <c r="I338" s="6">
        <f t="shared" ref="I338:L340" si="125">I339</f>
        <v>0</v>
      </c>
      <c r="J338" s="6">
        <f t="shared" si="125"/>
        <v>0</v>
      </c>
      <c r="K338" s="6">
        <f t="shared" si="125"/>
        <v>0</v>
      </c>
      <c r="L338" s="6">
        <f t="shared" si="125"/>
        <v>0</v>
      </c>
    </row>
    <row r="339" spans="2:12" x14ac:dyDescent="0.25">
      <c r="B339" s="43">
        <f t="shared" si="119"/>
        <v>332</v>
      </c>
      <c r="C339" s="34">
        <v>210</v>
      </c>
      <c r="D339" s="34"/>
      <c r="E339" s="34"/>
      <c r="F339" s="34"/>
      <c r="G339" s="7" t="s">
        <v>28</v>
      </c>
      <c r="H339" s="8">
        <f>H340</f>
        <v>400</v>
      </c>
      <c r="I339" s="8">
        <f t="shared" si="125"/>
        <v>0</v>
      </c>
      <c r="J339" s="8">
        <f t="shared" si="125"/>
        <v>0</v>
      </c>
      <c r="K339" s="8">
        <f t="shared" si="125"/>
        <v>0</v>
      </c>
      <c r="L339" s="8">
        <f t="shared" si="125"/>
        <v>0</v>
      </c>
    </row>
    <row r="340" spans="2:12" x14ac:dyDescent="0.25">
      <c r="B340" s="43">
        <f t="shared" si="119"/>
        <v>333</v>
      </c>
      <c r="C340" s="35"/>
      <c r="D340" s="35">
        <v>212</v>
      </c>
      <c r="E340" s="35"/>
      <c r="F340" s="35"/>
      <c r="G340" s="9" t="s">
        <v>31</v>
      </c>
      <c r="H340" s="10">
        <f>H341</f>
        <v>400</v>
      </c>
      <c r="I340" s="10">
        <f t="shared" si="125"/>
        <v>0</v>
      </c>
      <c r="J340" s="10">
        <f t="shared" si="125"/>
        <v>0</v>
      </c>
      <c r="K340" s="10">
        <f t="shared" si="125"/>
        <v>0</v>
      </c>
      <c r="L340" s="10">
        <f t="shared" si="125"/>
        <v>0</v>
      </c>
    </row>
    <row r="341" spans="2:12" x14ac:dyDescent="0.25">
      <c r="B341" s="43">
        <f t="shared" si="119"/>
        <v>334</v>
      </c>
      <c r="C341" s="36"/>
      <c r="D341" s="36"/>
      <c r="E341" s="36">
        <v>212003</v>
      </c>
      <c r="F341" s="36"/>
      <c r="G341" s="12" t="s">
        <v>33</v>
      </c>
      <c r="H341" s="13">
        <v>400</v>
      </c>
      <c r="I341" s="13">
        <v>0</v>
      </c>
      <c r="J341" s="13"/>
      <c r="K341" s="13">
        <v>0</v>
      </c>
      <c r="L341" s="13">
        <v>0</v>
      </c>
    </row>
    <row r="342" spans="2:12" x14ac:dyDescent="0.25">
      <c r="B342" s="43">
        <f t="shared" si="119"/>
        <v>335</v>
      </c>
      <c r="C342" s="33" t="s">
        <v>167</v>
      </c>
      <c r="D342" s="33"/>
      <c r="E342" s="33"/>
      <c r="F342" s="33"/>
      <c r="G342" s="5" t="s">
        <v>168</v>
      </c>
      <c r="H342" s="6">
        <f>H343</f>
        <v>2500</v>
      </c>
      <c r="I342" s="6">
        <f t="shared" ref="I342:L344" si="126">I343</f>
        <v>9300</v>
      </c>
      <c r="J342" s="6">
        <f t="shared" si="126"/>
        <v>9300</v>
      </c>
      <c r="K342" s="6">
        <f t="shared" si="126"/>
        <v>2350.6</v>
      </c>
      <c r="L342" s="6">
        <f t="shared" si="126"/>
        <v>9002</v>
      </c>
    </row>
    <row r="343" spans="2:12" x14ac:dyDescent="0.25">
      <c r="B343" s="43">
        <f t="shared" si="119"/>
        <v>336</v>
      </c>
      <c r="C343" s="34">
        <v>220</v>
      </c>
      <c r="D343" s="34"/>
      <c r="E343" s="34"/>
      <c r="F343" s="34"/>
      <c r="G343" s="7" t="s">
        <v>35</v>
      </c>
      <c r="H343" s="8">
        <f>H344</f>
        <v>2500</v>
      </c>
      <c r="I343" s="8">
        <f t="shared" si="126"/>
        <v>9300</v>
      </c>
      <c r="J343" s="8">
        <f t="shared" si="126"/>
        <v>9300</v>
      </c>
      <c r="K343" s="8">
        <f t="shared" si="126"/>
        <v>2350.6</v>
      </c>
      <c r="L343" s="8">
        <f t="shared" si="126"/>
        <v>9002</v>
      </c>
    </row>
    <row r="344" spans="2:12" x14ac:dyDescent="0.25">
      <c r="B344" s="43">
        <f t="shared" si="119"/>
        <v>337</v>
      </c>
      <c r="C344" s="35"/>
      <c r="D344" s="35">
        <v>223</v>
      </c>
      <c r="E344" s="35"/>
      <c r="F344" s="35"/>
      <c r="G344" s="9" t="s">
        <v>41</v>
      </c>
      <c r="H344" s="10">
        <f>H345</f>
        <v>2500</v>
      </c>
      <c r="I344" s="10">
        <f t="shared" si="126"/>
        <v>9300</v>
      </c>
      <c r="J344" s="10">
        <f t="shared" si="126"/>
        <v>9300</v>
      </c>
      <c r="K344" s="10">
        <f t="shared" si="126"/>
        <v>2350.6</v>
      </c>
      <c r="L344" s="10">
        <f t="shared" si="126"/>
        <v>9002</v>
      </c>
    </row>
    <row r="345" spans="2:12" x14ac:dyDescent="0.25">
      <c r="B345" s="43">
        <f t="shared" si="119"/>
        <v>338</v>
      </c>
      <c r="C345" s="36"/>
      <c r="D345" s="36"/>
      <c r="E345" s="36">
        <v>223001</v>
      </c>
      <c r="F345" s="36"/>
      <c r="G345" s="12" t="s">
        <v>42</v>
      </c>
      <c r="H345" s="13">
        <v>2500</v>
      </c>
      <c r="I345" s="13">
        <v>9300</v>
      </c>
      <c r="J345" s="13">
        <v>9300</v>
      </c>
      <c r="K345" s="13">
        <v>2350.6</v>
      </c>
      <c r="L345" s="13">
        <v>9002</v>
      </c>
    </row>
    <row r="346" spans="2:12" x14ac:dyDescent="0.25">
      <c r="B346" s="43">
        <f t="shared" si="119"/>
        <v>339</v>
      </c>
      <c r="C346" s="33" t="s">
        <v>169</v>
      </c>
      <c r="D346" s="33"/>
      <c r="E346" s="33"/>
      <c r="F346" s="33"/>
      <c r="G346" s="5" t="s">
        <v>170</v>
      </c>
      <c r="H346" s="6">
        <f>H347</f>
        <v>1900</v>
      </c>
      <c r="I346" s="6">
        <f t="shared" ref="I346:L348" si="127">I347</f>
        <v>0</v>
      </c>
      <c r="J346" s="6">
        <f t="shared" si="127"/>
        <v>0</v>
      </c>
      <c r="K346" s="6">
        <f t="shared" si="127"/>
        <v>1985</v>
      </c>
      <c r="L346" s="6">
        <f t="shared" si="127"/>
        <v>0</v>
      </c>
    </row>
    <row r="347" spans="2:12" x14ac:dyDescent="0.25">
      <c r="B347" s="43">
        <f t="shared" si="119"/>
        <v>340</v>
      </c>
      <c r="C347" s="34">
        <v>220</v>
      </c>
      <c r="D347" s="34"/>
      <c r="E347" s="34"/>
      <c r="F347" s="34"/>
      <c r="G347" s="7" t="s">
        <v>35</v>
      </c>
      <c r="H347" s="8">
        <f>H348</f>
        <v>1900</v>
      </c>
      <c r="I347" s="8">
        <f t="shared" si="127"/>
        <v>0</v>
      </c>
      <c r="J347" s="8">
        <f t="shared" si="127"/>
        <v>0</v>
      </c>
      <c r="K347" s="8">
        <f t="shared" si="127"/>
        <v>1985</v>
      </c>
      <c r="L347" s="8">
        <f t="shared" si="127"/>
        <v>0</v>
      </c>
    </row>
    <row r="348" spans="2:12" x14ac:dyDescent="0.25">
      <c r="B348" s="43">
        <f t="shared" si="119"/>
        <v>341</v>
      </c>
      <c r="C348" s="35"/>
      <c r="D348" s="35">
        <v>223</v>
      </c>
      <c r="E348" s="35"/>
      <c r="F348" s="35"/>
      <c r="G348" s="9" t="s">
        <v>41</v>
      </c>
      <c r="H348" s="10">
        <f>H349</f>
        <v>1900</v>
      </c>
      <c r="I348" s="10">
        <f t="shared" si="127"/>
        <v>0</v>
      </c>
      <c r="J348" s="10">
        <f t="shared" si="127"/>
        <v>0</v>
      </c>
      <c r="K348" s="10">
        <f t="shared" si="127"/>
        <v>1985</v>
      </c>
      <c r="L348" s="10">
        <f t="shared" si="127"/>
        <v>0</v>
      </c>
    </row>
    <row r="349" spans="2:12" x14ac:dyDescent="0.25">
      <c r="B349" s="43">
        <f t="shared" si="119"/>
        <v>342</v>
      </c>
      <c r="C349" s="36"/>
      <c r="D349" s="36"/>
      <c r="E349" s="36">
        <v>223001</v>
      </c>
      <c r="F349" s="36"/>
      <c r="G349" s="12" t="s">
        <v>42</v>
      </c>
      <c r="H349" s="13">
        <v>1900</v>
      </c>
      <c r="I349" s="13">
        <v>0</v>
      </c>
      <c r="J349" s="13"/>
      <c r="K349" s="13">
        <v>1985</v>
      </c>
      <c r="L349" s="13">
        <v>0</v>
      </c>
    </row>
    <row r="350" spans="2:12" x14ac:dyDescent="0.25">
      <c r="B350" s="43">
        <f t="shared" si="119"/>
        <v>343</v>
      </c>
      <c r="C350" s="33" t="s">
        <v>171</v>
      </c>
      <c r="D350" s="33"/>
      <c r="E350" s="33"/>
      <c r="F350" s="33"/>
      <c r="G350" s="5" t="s">
        <v>172</v>
      </c>
      <c r="H350" s="6">
        <f>H351</f>
        <v>4900</v>
      </c>
      <c r="I350" s="6">
        <f t="shared" ref="I350:L352" si="128">I351</f>
        <v>0</v>
      </c>
      <c r="J350" s="6">
        <f t="shared" si="128"/>
        <v>0</v>
      </c>
      <c r="K350" s="6">
        <f t="shared" si="128"/>
        <v>4590</v>
      </c>
      <c r="L350" s="6">
        <f t="shared" si="128"/>
        <v>0</v>
      </c>
    </row>
    <row r="351" spans="2:12" x14ac:dyDescent="0.25">
      <c r="B351" s="43">
        <f t="shared" si="119"/>
        <v>344</v>
      </c>
      <c r="C351" s="34">
        <v>220</v>
      </c>
      <c r="D351" s="34"/>
      <c r="E351" s="34"/>
      <c r="F351" s="34"/>
      <c r="G351" s="7" t="s">
        <v>35</v>
      </c>
      <c r="H351" s="8">
        <f>H352</f>
        <v>4900</v>
      </c>
      <c r="I351" s="8">
        <f t="shared" si="128"/>
        <v>0</v>
      </c>
      <c r="J351" s="8">
        <f t="shared" si="128"/>
        <v>0</v>
      </c>
      <c r="K351" s="8">
        <f t="shared" si="128"/>
        <v>4590</v>
      </c>
      <c r="L351" s="8">
        <f t="shared" si="128"/>
        <v>0</v>
      </c>
    </row>
    <row r="352" spans="2:12" x14ac:dyDescent="0.25">
      <c r="B352" s="43">
        <f t="shared" si="119"/>
        <v>345</v>
      </c>
      <c r="C352" s="35"/>
      <c r="D352" s="35">
        <v>223</v>
      </c>
      <c r="E352" s="35"/>
      <c r="F352" s="35"/>
      <c r="G352" s="9" t="s">
        <v>41</v>
      </c>
      <c r="H352" s="10">
        <f>H353</f>
        <v>4900</v>
      </c>
      <c r="I352" s="10">
        <f t="shared" si="128"/>
        <v>0</v>
      </c>
      <c r="J352" s="10">
        <f t="shared" si="128"/>
        <v>0</v>
      </c>
      <c r="K352" s="10">
        <f t="shared" si="128"/>
        <v>4590</v>
      </c>
      <c r="L352" s="10">
        <f t="shared" si="128"/>
        <v>0</v>
      </c>
    </row>
    <row r="353" spans="2:12" x14ac:dyDescent="0.25">
      <c r="B353" s="43">
        <f t="shared" si="119"/>
        <v>346</v>
      </c>
      <c r="C353" s="36"/>
      <c r="D353" s="36"/>
      <c r="E353" s="36">
        <v>223001</v>
      </c>
      <c r="F353" s="36"/>
      <c r="G353" s="12" t="s">
        <v>42</v>
      </c>
      <c r="H353" s="13">
        <v>4900</v>
      </c>
      <c r="I353" s="13">
        <v>0</v>
      </c>
      <c r="J353" s="13"/>
      <c r="K353" s="13">
        <v>4590</v>
      </c>
      <c r="L353" s="13">
        <v>0</v>
      </c>
    </row>
    <row r="354" spans="2:12" x14ac:dyDescent="0.25">
      <c r="B354" s="43">
        <f t="shared" si="119"/>
        <v>347</v>
      </c>
      <c r="C354" s="33" t="s">
        <v>173</v>
      </c>
      <c r="D354" s="33"/>
      <c r="E354" s="33"/>
      <c r="F354" s="33"/>
      <c r="G354" s="5" t="s">
        <v>174</v>
      </c>
      <c r="H354" s="6">
        <f>H355</f>
        <v>104000</v>
      </c>
      <c r="I354" s="6">
        <f t="shared" ref="I354:L356" si="129">I355</f>
        <v>134000</v>
      </c>
      <c r="J354" s="6">
        <f t="shared" si="129"/>
        <v>134000</v>
      </c>
      <c r="K354" s="6">
        <f t="shared" si="129"/>
        <v>104493.9</v>
      </c>
      <c r="L354" s="6">
        <f t="shared" si="129"/>
        <v>135481</v>
      </c>
    </row>
    <row r="355" spans="2:12" x14ac:dyDescent="0.25">
      <c r="B355" s="43">
        <f t="shared" si="119"/>
        <v>348</v>
      </c>
      <c r="C355" s="34">
        <v>220</v>
      </c>
      <c r="D355" s="34"/>
      <c r="E355" s="34"/>
      <c r="F355" s="34"/>
      <c r="G355" s="7" t="s">
        <v>35</v>
      </c>
      <c r="H355" s="8">
        <f>H356</f>
        <v>104000</v>
      </c>
      <c r="I355" s="8">
        <f t="shared" si="129"/>
        <v>134000</v>
      </c>
      <c r="J355" s="8">
        <f t="shared" si="129"/>
        <v>134000</v>
      </c>
      <c r="K355" s="8">
        <f t="shared" si="129"/>
        <v>104493.9</v>
      </c>
      <c r="L355" s="8">
        <f t="shared" si="129"/>
        <v>135481</v>
      </c>
    </row>
    <row r="356" spans="2:12" x14ac:dyDescent="0.25">
      <c r="B356" s="43">
        <f t="shared" si="119"/>
        <v>349</v>
      </c>
      <c r="C356" s="35"/>
      <c r="D356" s="35">
        <v>223</v>
      </c>
      <c r="E356" s="35"/>
      <c r="F356" s="35"/>
      <c r="G356" s="9" t="s">
        <v>41</v>
      </c>
      <c r="H356" s="10">
        <f>H357</f>
        <v>104000</v>
      </c>
      <c r="I356" s="10">
        <f t="shared" si="129"/>
        <v>134000</v>
      </c>
      <c r="J356" s="10">
        <f t="shared" si="129"/>
        <v>134000</v>
      </c>
      <c r="K356" s="10">
        <f t="shared" si="129"/>
        <v>104493.9</v>
      </c>
      <c r="L356" s="10">
        <f t="shared" si="129"/>
        <v>135481</v>
      </c>
    </row>
    <row r="357" spans="2:12" x14ac:dyDescent="0.25">
      <c r="B357" s="43">
        <f t="shared" si="119"/>
        <v>350</v>
      </c>
      <c r="C357" s="36"/>
      <c r="D357" s="36"/>
      <c r="E357" s="36">
        <v>223001</v>
      </c>
      <c r="F357" s="36"/>
      <c r="G357" s="12" t="s">
        <v>42</v>
      </c>
      <c r="H357" s="13">
        <v>104000</v>
      </c>
      <c r="I357" s="13">
        <v>134000</v>
      </c>
      <c r="J357" s="13">
        <v>134000</v>
      </c>
      <c r="K357" s="13">
        <v>104493.9</v>
      </c>
      <c r="L357" s="13">
        <v>135481</v>
      </c>
    </row>
    <row r="358" spans="2:12" x14ac:dyDescent="0.25">
      <c r="B358" s="43">
        <f t="shared" si="119"/>
        <v>351</v>
      </c>
      <c r="C358" s="33" t="s">
        <v>175</v>
      </c>
      <c r="D358" s="33"/>
      <c r="E358" s="33"/>
      <c r="F358" s="33"/>
      <c r="G358" s="5" t="s">
        <v>176</v>
      </c>
      <c r="H358" s="6">
        <f>H359</f>
        <v>10500</v>
      </c>
      <c r="I358" s="6">
        <f t="shared" ref="I358:L360" si="130">I359</f>
        <v>0</v>
      </c>
      <c r="J358" s="6">
        <f t="shared" si="130"/>
        <v>0</v>
      </c>
      <c r="K358" s="6">
        <f t="shared" si="130"/>
        <v>10571.7</v>
      </c>
      <c r="L358" s="6">
        <f t="shared" si="130"/>
        <v>0</v>
      </c>
    </row>
    <row r="359" spans="2:12" x14ac:dyDescent="0.25">
      <c r="B359" s="43">
        <f t="shared" si="119"/>
        <v>352</v>
      </c>
      <c r="C359" s="34">
        <v>220</v>
      </c>
      <c r="D359" s="34"/>
      <c r="E359" s="34"/>
      <c r="F359" s="34"/>
      <c r="G359" s="7" t="s">
        <v>35</v>
      </c>
      <c r="H359" s="8">
        <f>H360</f>
        <v>10500</v>
      </c>
      <c r="I359" s="8">
        <f t="shared" si="130"/>
        <v>0</v>
      </c>
      <c r="J359" s="8">
        <f t="shared" si="130"/>
        <v>0</v>
      </c>
      <c r="K359" s="8">
        <f t="shared" si="130"/>
        <v>10571.7</v>
      </c>
      <c r="L359" s="8">
        <f t="shared" si="130"/>
        <v>0</v>
      </c>
    </row>
    <row r="360" spans="2:12" x14ac:dyDescent="0.25">
      <c r="B360" s="43">
        <f t="shared" si="119"/>
        <v>353</v>
      </c>
      <c r="C360" s="35"/>
      <c r="D360" s="35">
        <v>223</v>
      </c>
      <c r="E360" s="35"/>
      <c r="F360" s="35"/>
      <c r="G360" s="9" t="s">
        <v>41</v>
      </c>
      <c r="H360" s="10">
        <f>H361</f>
        <v>10500</v>
      </c>
      <c r="I360" s="10">
        <f t="shared" si="130"/>
        <v>0</v>
      </c>
      <c r="J360" s="10">
        <f t="shared" si="130"/>
        <v>0</v>
      </c>
      <c r="K360" s="10">
        <f t="shared" si="130"/>
        <v>10571.7</v>
      </c>
      <c r="L360" s="10">
        <f t="shared" si="130"/>
        <v>0</v>
      </c>
    </row>
    <row r="361" spans="2:12" x14ac:dyDescent="0.25">
      <c r="B361" s="43">
        <f t="shared" si="119"/>
        <v>354</v>
      </c>
      <c r="C361" s="36"/>
      <c r="D361" s="36"/>
      <c r="E361" s="36">
        <v>223001</v>
      </c>
      <c r="F361" s="36"/>
      <c r="G361" s="12" t="s">
        <v>42</v>
      </c>
      <c r="H361" s="13">
        <v>10500</v>
      </c>
      <c r="I361" s="13">
        <v>0</v>
      </c>
      <c r="J361" s="13"/>
      <c r="K361" s="13">
        <v>10571.7</v>
      </c>
      <c r="L361" s="13">
        <v>0</v>
      </c>
    </row>
    <row r="362" spans="2:12" x14ac:dyDescent="0.25">
      <c r="B362" s="43">
        <f t="shared" si="119"/>
        <v>355</v>
      </c>
      <c r="C362" s="33" t="s">
        <v>177</v>
      </c>
      <c r="D362" s="33"/>
      <c r="E362" s="33"/>
      <c r="F362" s="33"/>
      <c r="G362" s="5" t="s">
        <v>178</v>
      </c>
      <c r="H362" s="6">
        <f>H363</f>
        <v>27000</v>
      </c>
      <c r="I362" s="6">
        <f t="shared" ref="I362:L364" si="131">I363</f>
        <v>0</v>
      </c>
      <c r="J362" s="6">
        <f t="shared" si="131"/>
        <v>0</v>
      </c>
      <c r="K362" s="6">
        <f t="shared" si="131"/>
        <v>28444.73</v>
      </c>
      <c r="L362" s="6">
        <f t="shared" si="131"/>
        <v>0</v>
      </c>
    </row>
    <row r="363" spans="2:12" x14ac:dyDescent="0.25">
      <c r="B363" s="43">
        <f t="shared" si="119"/>
        <v>356</v>
      </c>
      <c r="C363" s="34">
        <v>220</v>
      </c>
      <c r="D363" s="34"/>
      <c r="E363" s="34"/>
      <c r="F363" s="34"/>
      <c r="G363" s="7" t="s">
        <v>35</v>
      </c>
      <c r="H363" s="8">
        <f>H364</f>
        <v>27000</v>
      </c>
      <c r="I363" s="8">
        <f t="shared" si="131"/>
        <v>0</v>
      </c>
      <c r="J363" s="8">
        <f t="shared" si="131"/>
        <v>0</v>
      </c>
      <c r="K363" s="8">
        <f t="shared" si="131"/>
        <v>28444.73</v>
      </c>
      <c r="L363" s="8">
        <f t="shared" si="131"/>
        <v>0</v>
      </c>
    </row>
    <row r="364" spans="2:12" x14ac:dyDescent="0.25">
      <c r="B364" s="43">
        <f t="shared" si="119"/>
        <v>357</v>
      </c>
      <c r="C364" s="35"/>
      <c r="D364" s="35">
        <v>223</v>
      </c>
      <c r="E364" s="35"/>
      <c r="F364" s="35"/>
      <c r="G364" s="9" t="s">
        <v>41</v>
      </c>
      <c r="H364" s="10">
        <f>H365</f>
        <v>27000</v>
      </c>
      <c r="I364" s="10">
        <f t="shared" si="131"/>
        <v>0</v>
      </c>
      <c r="J364" s="10">
        <f t="shared" si="131"/>
        <v>0</v>
      </c>
      <c r="K364" s="10">
        <f t="shared" si="131"/>
        <v>28444.73</v>
      </c>
      <c r="L364" s="10">
        <f t="shared" si="131"/>
        <v>0</v>
      </c>
    </row>
    <row r="365" spans="2:12" x14ac:dyDescent="0.25">
      <c r="B365" s="43">
        <f t="shared" si="119"/>
        <v>358</v>
      </c>
      <c r="C365" s="36"/>
      <c r="D365" s="36"/>
      <c r="E365" s="36">
        <v>223001</v>
      </c>
      <c r="F365" s="36"/>
      <c r="G365" s="12" t="s">
        <v>42</v>
      </c>
      <c r="H365" s="13">
        <v>27000</v>
      </c>
      <c r="I365" s="13">
        <v>0</v>
      </c>
      <c r="J365" s="13"/>
      <c r="K365" s="13">
        <v>28444.73</v>
      </c>
      <c r="L365" s="13">
        <v>0</v>
      </c>
    </row>
    <row r="366" spans="2:12" x14ac:dyDescent="0.25">
      <c r="B366" s="43">
        <f t="shared" si="119"/>
        <v>359</v>
      </c>
      <c r="C366" s="33" t="s">
        <v>179</v>
      </c>
      <c r="D366" s="33"/>
      <c r="E366" s="33"/>
      <c r="F366" s="33"/>
      <c r="G366" s="5" t="s">
        <v>180</v>
      </c>
      <c r="H366" s="6">
        <f>H368</f>
        <v>83000</v>
      </c>
      <c r="I366" s="6">
        <f t="shared" ref="I366:L368" si="132">I367</f>
        <v>95200</v>
      </c>
      <c r="J366" s="6">
        <f t="shared" si="132"/>
        <v>82643</v>
      </c>
      <c r="K366" s="6">
        <f t="shared" si="132"/>
        <v>87563.9</v>
      </c>
      <c r="L366" s="6">
        <f t="shared" si="132"/>
        <v>81543</v>
      </c>
    </row>
    <row r="367" spans="2:12" x14ac:dyDescent="0.25">
      <c r="B367" s="43">
        <f t="shared" si="119"/>
        <v>360</v>
      </c>
      <c r="C367" s="34">
        <v>220</v>
      </c>
      <c r="D367" s="34"/>
      <c r="E367" s="34"/>
      <c r="F367" s="34"/>
      <c r="G367" s="7" t="s">
        <v>35</v>
      </c>
      <c r="H367" s="8">
        <f>H368</f>
        <v>83000</v>
      </c>
      <c r="I367" s="8">
        <f t="shared" si="132"/>
        <v>95200</v>
      </c>
      <c r="J367" s="8">
        <f t="shared" si="132"/>
        <v>82643</v>
      </c>
      <c r="K367" s="8">
        <f t="shared" si="132"/>
        <v>87563.9</v>
      </c>
      <c r="L367" s="8">
        <f t="shared" si="132"/>
        <v>81543</v>
      </c>
    </row>
    <row r="368" spans="2:12" x14ac:dyDescent="0.25">
      <c r="B368" s="43">
        <f t="shared" si="119"/>
        <v>361</v>
      </c>
      <c r="C368" s="35"/>
      <c r="D368" s="35">
        <v>223</v>
      </c>
      <c r="E368" s="35"/>
      <c r="F368" s="35"/>
      <c r="G368" s="9" t="s">
        <v>41</v>
      </c>
      <c r="H368" s="10">
        <f>H369</f>
        <v>83000</v>
      </c>
      <c r="I368" s="10">
        <f t="shared" si="132"/>
        <v>95200</v>
      </c>
      <c r="J368" s="10">
        <f t="shared" si="132"/>
        <v>82643</v>
      </c>
      <c r="K368" s="10">
        <f t="shared" si="132"/>
        <v>87563.9</v>
      </c>
      <c r="L368" s="10">
        <f t="shared" si="132"/>
        <v>81543</v>
      </c>
    </row>
    <row r="369" spans="2:12" x14ac:dyDescent="0.25">
      <c r="B369" s="43">
        <f t="shared" si="119"/>
        <v>362</v>
      </c>
      <c r="C369" s="36"/>
      <c r="D369" s="36"/>
      <c r="E369" s="36">
        <v>223001</v>
      </c>
      <c r="F369" s="36"/>
      <c r="G369" s="12" t="s">
        <v>42</v>
      </c>
      <c r="H369" s="13">
        <v>83000</v>
      </c>
      <c r="I369" s="13">
        <v>95200</v>
      </c>
      <c r="J369" s="13">
        <v>82643</v>
      </c>
      <c r="K369" s="13">
        <v>87563.9</v>
      </c>
      <c r="L369" s="13">
        <v>81543</v>
      </c>
    </row>
    <row r="370" spans="2:12" x14ac:dyDescent="0.25">
      <c r="B370" s="43">
        <f t="shared" si="119"/>
        <v>363</v>
      </c>
      <c r="C370" s="33" t="s">
        <v>181</v>
      </c>
      <c r="D370" s="33"/>
      <c r="E370" s="33"/>
      <c r="F370" s="33"/>
      <c r="G370" s="5" t="s">
        <v>182</v>
      </c>
      <c r="H370" s="6">
        <f>H371</f>
        <v>5500</v>
      </c>
      <c r="I370" s="6">
        <f t="shared" ref="I370:L372" si="133">I371</f>
        <v>5500</v>
      </c>
      <c r="J370" s="6">
        <f t="shared" si="133"/>
        <v>5500</v>
      </c>
      <c r="K370" s="6">
        <f t="shared" si="133"/>
        <v>5202.3999999999996</v>
      </c>
      <c r="L370" s="6">
        <f t="shared" si="133"/>
        <v>5067</v>
      </c>
    </row>
    <row r="371" spans="2:12" x14ac:dyDescent="0.25">
      <c r="B371" s="43">
        <f t="shared" si="119"/>
        <v>364</v>
      </c>
      <c r="C371" s="34">
        <v>220</v>
      </c>
      <c r="D371" s="34"/>
      <c r="E371" s="34"/>
      <c r="F371" s="34"/>
      <c r="G371" s="7" t="s">
        <v>35</v>
      </c>
      <c r="H371" s="8">
        <f>H372</f>
        <v>5500</v>
      </c>
      <c r="I371" s="8">
        <f t="shared" si="133"/>
        <v>5500</v>
      </c>
      <c r="J371" s="8">
        <f t="shared" si="133"/>
        <v>5500</v>
      </c>
      <c r="K371" s="8">
        <f t="shared" si="133"/>
        <v>5202.3999999999996</v>
      </c>
      <c r="L371" s="8">
        <f t="shared" si="133"/>
        <v>5067</v>
      </c>
    </row>
    <row r="372" spans="2:12" x14ac:dyDescent="0.25">
      <c r="B372" s="43">
        <f t="shared" si="119"/>
        <v>365</v>
      </c>
      <c r="C372" s="35"/>
      <c r="D372" s="35">
        <v>223</v>
      </c>
      <c r="E372" s="35"/>
      <c r="F372" s="35"/>
      <c r="G372" s="9" t="s">
        <v>41</v>
      </c>
      <c r="H372" s="10">
        <f>H373</f>
        <v>5500</v>
      </c>
      <c r="I372" s="10">
        <f t="shared" si="133"/>
        <v>5500</v>
      </c>
      <c r="J372" s="10">
        <f t="shared" si="133"/>
        <v>5500</v>
      </c>
      <c r="K372" s="10">
        <f t="shared" si="133"/>
        <v>5202.3999999999996</v>
      </c>
      <c r="L372" s="10">
        <f t="shared" si="133"/>
        <v>5067</v>
      </c>
    </row>
    <row r="373" spans="2:12" x14ac:dyDescent="0.25">
      <c r="B373" s="43">
        <f t="shared" si="119"/>
        <v>366</v>
      </c>
      <c r="C373" s="36"/>
      <c r="D373" s="36"/>
      <c r="E373" s="36">
        <v>223001</v>
      </c>
      <c r="F373" s="36"/>
      <c r="G373" s="12" t="s">
        <v>42</v>
      </c>
      <c r="H373" s="13">
        <v>5500</v>
      </c>
      <c r="I373" s="13">
        <v>5500</v>
      </c>
      <c r="J373" s="13">
        <v>5500</v>
      </c>
      <c r="K373" s="13">
        <v>5202.3999999999996</v>
      </c>
      <c r="L373" s="13">
        <v>5067</v>
      </c>
    </row>
    <row r="374" spans="2:12" x14ac:dyDescent="0.25">
      <c r="B374" s="43">
        <f t="shared" si="119"/>
        <v>367</v>
      </c>
      <c r="C374" s="33" t="s">
        <v>183</v>
      </c>
      <c r="D374" s="33"/>
      <c r="E374" s="33"/>
      <c r="F374" s="33"/>
      <c r="G374" s="5" t="s">
        <v>706</v>
      </c>
      <c r="H374" s="6">
        <f>H375</f>
        <v>7300</v>
      </c>
      <c r="I374" s="6">
        <f t="shared" ref="I374:L376" si="134">I375</f>
        <v>7300</v>
      </c>
      <c r="J374" s="6">
        <f t="shared" si="134"/>
        <v>7300</v>
      </c>
      <c r="K374" s="6">
        <f t="shared" si="134"/>
        <v>9277.7999999999993</v>
      </c>
      <c r="L374" s="6">
        <f t="shared" si="134"/>
        <v>8133</v>
      </c>
    </row>
    <row r="375" spans="2:12" x14ac:dyDescent="0.25">
      <c r="B375" s="43">
        <f t="shared" si="119"/>
        <v>368</v>
      </c>
      <c r="C375" s="34">
        <v>220</v>
      </c>
      <c r="D375" s="34"/>
      <c r="E375" s="34"/>
      <c r="F375" s="34"/>
      <c r="G375" s="7" t="s">
        <v>35</v>
      </c>
      <c r="H375" s="8">
        <f>H376</f>
        <v>7300</v>
      </c>
      <c r="I375" s="8">
        <f t="shared" si="134"/>
        <v>7300</v>
      </c>
      <c r="J375" s="8">
        <f t="shared" si="134"/>
        <v>7300</v>
      </c>
      <c r="K375" s="8">
        <f t="shared" si="134"/>
        <v>9277.7999999999993</v>
      </c>
      <c r="L375" s="8">
        <f t="shared" si="134"/>
        <v>8133</v>
      </c>
    </row>
    <row r="376" spans="2:12" x14ac:dyDescent="0.25">
      <c r="B376" s="43">
        <f t="shared" si="119"/>
        <v>369</v>
      </c>
      <c r="C376" s="35"/>
      <c r="D376" s="35">
        <v>223</v>
      </c>
      <c r="E376" s="35"/>
      <c r="F376" s="35"/>
      <c r="G376" s="9" t="s">
        <v>41</v>
      </c>
      <c r="H376" s="10">
        <f>H377</f>
        <v>7300</v>
      </c>
      <c r="I376" s="10">
        <f t="shared" si="134"/>
        <v>7300</v>
      </c>
      <c r="J376" s="10">
        <f t="shared" si="134"/>
        <v>7300</v>
      </c>
      <c r="K376" s="10">
        <f t="shared" si="134"/>
        <v>9277.7999999999993</v>
      </c>
      <c r="L376" s="10">
        <f t="shared" si="134"/>
        <v>8133</v>
      </c>
    </row>
    <row r="377" spans="2:12" ht="15.75" thickBot="1" x14ac:dyDescent="0.3">
      <c r="B377" s="43">
        <f t="shared" si="119"/>
        <v>370</v>
      </c>
      <c r="C377" s="36"/>
      <c r="D377" s="36"/>
      <c r="E377" s="36">
        <v>223001</v>
      </c>
      <c r="F377" s="36"/>
      <c r="G377" s="12" t="s">
        <v>42</v>
      </c>
      <c r="H377" s="13">
        <v>7300</v>
      </c>
      <c r="I377" s="13">
        <v>7300</v>
      </c>
      <c r="J377" s="13">
        <v>7300</v>
      </c>
      <c r="K377" s="13">
        <v>9277.7999999999993</v>
      </c>
      <c r="L377" s="13">
        <v>8133</v>
      </c>
    </row>
    <row r="378" spans="2:12" ht="15.75" thickBot="1" x14ac:dyDescent="0.3">
      <c r="B378" s="43">
        <f t="shared" si="119"/>
        <v>371</v>
      </c>
      <c r="C378" s="32">
        <v>6</v>
      </c>
      <c r="D378" s="32"/>
      <c r="E378" s="32"/>
      <c r="F378" s="32"/>
      <c r="G378" s="3" t="s">
        <v>184</v>
      </c>
      <c r="H378" s="4">
        <f>H379+H382+H386+H389</f>
        <v>24800</v>
      </c>
      <c r="I378" s="4">
        <f>I389+I386+I382+I379</f>
        <v>13890</v>
      </c>
      <c r="J378" s="4">
        <f>J389+J386+J382+J379</f>
        <v>24890</v>
      </c>
      <c r="K378" s="4">
        <f>K389+K386+K382+K379</f>
        <v>14259.720000000001</v>
      </c>
      <c r="L378" s="4">
        <f>L389+L386+L382+L379</f>
        <v>14430</v>
      </c>
    </row>
    <row r="379" spans="2:12" x14ac:dyDescent="0.25">
      <c r="B379" s="43">
        <f t="shared" si="119"/>
        <v>372</v>
      </c>
      <c r="C379" s="33">
        <v>210</v>
      </c>
      <c r="D379" s="33"/>
      <c r="E379" s="33"/>
      <c r="F379" s="33"/>
      <c r="G379" s="5" t="s">
        <v>28</v>
      </c>
      <c r="H379" s="6">
        <f>H380</f>
        <v>1345</v>
      </c>
      <c r="I379" s="6">
        <f t="shared" ref="I379:L380" si="135">I380</f>
        <v>1455</v>
      </c>
      <c r="J379" s="6">
        <f t="shared" si="135"/>
        <v>1455</v>
      </c>
      <c r="K379" s="6">
        <f t="shared" si="135"/>
        <v>1529.12</v>
      </c>
      <c r="L379" s="6">
        <f t="shared" si="135"/>
        <v>1558</v>
      </c>
    </row>
    <row r="380" spans="2:12" x14ac:dyDescent="0.25">
      <c r="B380" s="43">
        <f t="shared" ref="B380:B386" si="136">B379+1</f>
        <v>373</v>
      </c>
      <c r="C380" s="34"/>
      <c r="D380" s="34">
        <v>212</v>
      </c>
      <c r="E380" s="34"/>
      <c r="F380" s="34"/>
      <c r="G380" s="7" t="s">
        <v>31</v>
      </c>
      <c r="H380" s="8">
        <f>H381</f>
        <v>1345</v>
      </c>
      <c r="I380" s="8">
        <f t="shared" si="135"/>
        <v>1455</v>
      </c>
      <c r="J380" s="8">
        <f t="shared" si="135"/>
        <v>1455</v>
      </c>
      <c r="K380" s="8">
        <f t="shared" si="135"/>
        <v>1529.12</v>
      </c>
      <c r="L380" s="8">
        <f t="shared" si="135"/>
        <v>1558</v>
      </c>
    </row>
    <row r="381" spans="2:12" x14ac:dyDescent="0.25">
      <c r="B381" s="43">
        <f t="shared" si="136"/>
        <v>374</v>
      </c>
      <c r="C381" s="35"/>
      <c r="D381" s="35"/>
      <c r="E381" s="35">
        <v>212003</v>
      </c>
      <c r="F381" s="35"/>
      <c r="G381" s="9" t="s">
        <v>33</v>
      </c>
      <c r="H381" s="10">
        <v>1345</v>
      </c>
      <c r="I381" s="10">
        <v>1455</v>
      </c>
      <c r="J381" s="10">
        <v>1455</v>
      </c>
      <c r="K381" s="10">
        <v>1529.12</v>
      </c>
      <c r="L381" s="10">
        <v>1558</v>
      </c>
    </row>
    <row r="382" spans="2:12" x14ac:dyDescent="0.25">
      <c r="B382" s="43">
        <f t="shared" si="136"/>
        <v>375</v>
      </c>
      <c r="C382" s="33">
        <v>220</v>
      </c>
      <c r="D382" s="33"/>
      <c r="E382" s="33"/>
      <c r="F382" s="33"/>
      <c r="G382" s="5" t="s">
        <v>35</v>
      </c>
      <c r="H382" s="6">
        <f>H383</f>
        <v>23000</v>
      </c>
      <c r="I382" s="6">
        <f t="shared" ref="I382:L382" si="137">I383</f>
        <v>12000</v>
      </c>
      <c r="J382" s="6">
        <f t="shared" si="137"/>
        <v>23000</v>
      </c>
      <c r="K382" s="6">
        <f t="shared" si="137"/>
        <v>12294.67</v>
      </c>
      <c r="L382" s="6">
        <f t="shared" si="137"/>
        <v>11797</v>
      </c>
    </row>
    <row r="383" spans="2:12" x14ac:dyDescent="0.25">
      <c r="B383" s="43">
        <f t="shared" si="136"/>
        <v>376</v>
      </c>
      <c r="C383" s="34"/>
      <c r="D383" s="34">
        <v>223</v>
      </c>
      <c r="E383" s="34"/>
      <c r="F383" s="34"/>
      <c r="G383" s="7" t="s">
        <v>41</v>
      </c>
      <c r="H383" s="8">
        <f>H384+H385</f>
        <v>23000</v>
      </c>
      <c r="I383" s="8">
        <f t="shared" ref="I383:L383" si="138">I384+I385</f>
        <v>12000</v>
      </c>
      <c r="J383" s="8">
        <f t="shared" si="138"/>
        <v>23000</v>
      </c>
      <c r="K383" s="8">
        <f t="shared" si="138"/>
        <v>12294.67</v>
      </c>
      <c r="L383" s="8">
        <f t="shared" si="138"/>
        <v>11797</v>
      </c>
    </row>
    <row r="384" spans="2:12" x14ac:dyDescent="0.25">
      <c r="B384" s="43">
        <f t="shared" si="136"/>
        <v>377</v>
      </c>
      <c r="C384" s="35"/>
      <c r="D384" s="35"/>
      <c r="E384" s="35">
        <v>223001</v>
      </c>
      <c r="F384" s="35"/>
      <c r="G384" s="9" t="s">
        <v>42</v>
      </c>
      <c r="H384" s="10">
        <v>11000</v>
      </c>
      <c r="I384" s="10"/>
      <c r="J384" s="10">
        <v>11000</v>
      </c>
      <c r="K384" s="10">
        <v>0</v>
      </c>
      <c r="L384" s="10">
        <v>0</v>
      </c>
    </row>
    <row r="385" spans="2:12" x14ac:dyDescent="0.25">
      <c r="B385" s="43">
        <f t="shared" si="136"/>
        <v>378</v>
      </c>
      <c r="C385" s="35"/>
      <c r="D385" s="35"/>
      <c r="E385" s="35">
        <v>223002</v>
      </c>
      <c r="F385" s="35"/>
      <c r="G385" s="9" t="s">
        <v>58</v>
      </c>
      <c r="H385" s="10">
        <v>12000</v>
      </c>
      <c r="I385" s="10">
        <v>12000</v>
      </c>
      <c r="J385" s="10">
        <v>12000</v>
      </c>
      <c r="K385" s="10">
        <v>12294.67</v>
      </c>
      <c r="L385" s="10">
        <v>11797</v>
      </c>
    </row>
    <row r="386" spans="2:12" x14ac:dyDescent="0.25">
      <c r="B386" s="43">
        <f t="shared" si="136"/>
        <v>379</v>
      </c>
      <c r="C386" s="33">
        <v>240</v>
      </c>
      <c r="D386" s="33"/>
      <c r="E386" s="33"/>
      <c r="F386" s="33"/>
      <c r="G386" s="5" t="s">
        <v>46</v>
      </c>
      <c r="H386" s="6">
        <f>H387</f>
        <v>5</v>
      </c>
      <c r="I386" s="6">
        <f t="shared" ref="I386:L387" si="139">I387</f>
        <v>5</v>
      </c>
      <c r="J386" s="6">
        <f t="shared" si="139"/>
        <v>5</v>
      </c>
      <c r="K386" s="6">
        <f t="shared" si="139"/>
        <v>2.35</v>
      </c>
      <c r="L386" s="6">
        <f t="shared" si="139"/>
        <v>2</v>
      </c>
    </row>
    <row r="387" spans="2:12" x14ac:dyDescent="0.25">
      <c r="B387" s="43">
        <f t="shared" ref="B387:B403" si="140">B386+1</f>
        <v>380</v>
      </c>
      <c r="C387" s="34"/>
      <c r="D387" s="34">
        <v>242</v>
      </c>
      <c r="E387" s="34"/>
      <c r="F387" s="34"/>
      <c r="G387" s="7" t="s">
        <v>47</v>
      </c>
      <c r="H387" s="8">
        <f>H388</f>
        <v>5</v>
      </c>
      <c r="I387" s="8">
        <f t="shared" si="139"/>
        <v>5</v>
      </c>
      <c r="J387" s="8">
        <f t="shared" si="139"/>
        <v>5</v>
      </c>
      <c r="K387" s="8">
        <f t="shared" si="139"/>
        <v>2.35</v>
      </c>
      <c r="L387" s="8">
        <f t="shared" si="139"/>
        <v>2</v>
      </c>
    </row>
    <row r="388" spans="2:12" x14ac:dyDescent="0.25">
      <c r="B388" s="43">
        <f t="shared" si="140"/>
        <v>381</v>
      </c>
      <c r="C388" s="35"/>
      <c r="D388" s="35"/>
      <c r="E388" s="35">
        <v>242</v>
      </c>
      <c r="F388" s="35"/>
      <c r="G388" s="9" t="s">
        <v>47</v>
      </c>
      <c r="H388" s="10">
        <v>5</v>
      </c>
      <c r="I388" s="10">
        <v>5</v>
      </c>
      <c r="J388" s="10">
        <v>5</v>
      </c>
      <c r="K388" s="10">
        <v>2.35</v>
      </c>
      <c r="L388" s="10">
        <v>2</v>
      </c>
    </row>
    <row r="389" spans="2:12" x14ac:dyDescent="0.25">
      <c r="B389" s="43">
        <f t="shared" si="140"/>
        <v>382</v>
      </c>
      <c r="C389" s="33">
        <v>290</v>
      </c>
      <c r="D389" s="33"/>
      <c r="E389" s="33"/>
      <c r="F389" s="33"/>
      <c r="G389" s="5" t="s">
        <v>49</v>
      </c>
      <c r="H389" s="6">
        <f>H390</f>
        <v>450</v>
      </c>
      <c r="I389" s="6">
        <f t="shared" ref="I389:L390" si="141">I390</f>
        <v>430</v>
      </c>
      <c r="J389" s="6">
        <f t="shared" si="141"/>
        <v>430</v>
      </c>
      <c r="K389" s="6">
        <f t="shared" si="141"/>
        <v>433.58</v>
      </c>
      <c r="L389" s="6">
        <f t="shared" si="141"/>
        <v>1073</v>
      </c>
    </row>
    <row r="390" spans="2:12" x14ac:dyDescent="0.25">
      <c r="B390" s="43">
        <f t="shared" si="140"/>
        <v>383</v>
      </c>
      <c r="C390" s="34"/>
      <c r="D390" s="34">
        <v>292</v>
      </c>
      <c r="E390" s="34"/>
      <c r="F390" s="34"/>
      <c r="G390" s="7" t="s">
        <v>50</v>
      </c>
      <c r="H390" s="8">
        <f>H391</f>
        <v>450</v>
      </c>
      <c r="I390" s="8">
        <f>I391</f>
        <v>430</v>
      </c>
      <c r="J390" s="8">
        <f t="shared" si="141"/>
        <v>430</v>
      </c>
      <c r="K390" s="8">
        <f t="shared" si="141"/>
        <v>433.58</v>
      </c>
      <c r="L390" s="8">
        <f t="shared" si="141"/>
        <v>1073</v>
      </c>
    </row>
    <row r="391" spans="2:12" ht="15.75" thickBot="1" x14ac:dyDescent="0.3">
      <c r="B391" s="43">
        <f t="shared" si="140"/>
        <v>384</v>
      </c>
      <c r="C391" s="35"/>
      <c r="D391" s="35"/>
      <c r="E391" s="35">
        <v>292012</v>
      </c>
      <c r="F391" s="35"/>
      <c r="G391" s="9" t="s">
        <v>53</v>
      </c>
      <c r="H391" s="10">
        <v>450</v>
      </c>
      <c r="I391" s="10">
        <v>430</v>
      </c>
      <c r="J391" s="10">
        <v>430</v>
      </c>
      <c r="K391" s="10">
        <v>433.58</v>
      </c>
      <c r="L391" s="10">
        <v>1073</v>
      </c>
    </row>
    <row r="392" spans="2:12" ht="15.75" thickBot="1" x14ac:dyDescent="0.3">
      <c r="B392" s="43">
        <f t="shared" si="140"/>
        <v>385</v>
      </c>
      <c r="C392" s="32">
        <v>7</v>
      </c>
      <c r="D392" s="32"/>
      <c r="E392" s="32"/>
      <c r="F392" s="32"/>
      <c r="G392" s="3" t="s">
        <v>185</v>
      </c>
      <c r="H392" s="4">
        <f>H393+H396+H401</f>
        <v>25000</v>
      </c>
      <c r="I392" s="4">
        <f t="shared" ref="I392:L392" si="142">I401+I396+I393</f>
        <v>13000</v>
      </c>
      <c r="J392" s="4">
        <f t="shared" si="142"/>
        <v>25000</v>
      </c>
      <c r="K392" s="4">
        <f t="shared" si="142"/>
        <v>26339</v>
      </c>
      <c r="L392" s="4">
        <f t="shared" si="142"/>
        <v>27006</v>
      </c>
    </row>
    <row r="393" spans="2:12" x14ac:dyDescent="0.25">
      <c r="B393" s="43">
        <f t="shared" si="140"/>
        <v>386</v>
      </c>
      <c r="C393" s="33">
        <v>210</v>
      </c>
      <c r="D393" s="33"/>
      <c r="E393" s="33"/>
      <c r="F393" s="33"/>
      <c r="G393" s="5" t="s">
        <v>28</v>
      </c>
      <c r="H393" s="6">
        <f>H394</f>
        <v>2000</v>
      </c>
      <c r="I393" s="6">
        <f t="shared" ref="I393:L394" si="143">I394</f>
        <v>2000</v>
      </c>
      <c r="J393" s="6">
        <f t="shared" si="143"/>
        <v>2000</v>
      </c>
      <c r="K393" s="6">
        <f t="shared" si="143"/>
        <v>2023</v>
      </c>
      <c r="L393" s="6">
        <f t="shared" si="143"/>
        <v>1839</v>
      </c>
    </row>
    <row r="394" spans="2:12" x14ac:dyDescent="0.25">
      <c r="B394" s="43">
        <f t="shared" si="140"/>
        <v>387</v>
      </c>
      <c r="C394" s="34"/>
      <c r="D394" s="34">
        <v>212</v>
      </c>
      <c r="E394" s="34"/>
      <c r="F394" s="34"/>
      <c r="G394" s="7" t="s">
        <v>31</v>
      </c>
      <c r="H394" s="8">
        <f>H395</f>
        <v>2000</v>
      </c>
      <c r="I394" s="8">
        <f t="shared" si="143"/>
        <v>2000</v>
      </c>
      <c r="J394" s="8">
        <f t="shared" si="143"/>
        <v>2000</v>
      </c>
      <c r="K394" s="8">
        <f t="shared" si="143"/>
        <v>2023</v>
      </c>
      <c r="L394" s="8">
        <f t="shared" si="143"/>
        <v>1839</v>
      </c>
    </row>
    <row r="395" spans="2:12" x14ac:dyDescent="0.25">
      <c r="B395" s="43">
        <f t="shared" si="140"/>
        <v>388</v>
      </c>
      <c r="C395" s="35"/>
      <c r="D395" s="35"/>
      <c r="E395" s="35">
        <v>212003</v>
      </c>
      <c r="F395" s="35"/>
      <c r="G395" s="9" t="s">
        <v>33</v>
      </c>
      <c r="H395" s="10">
        <v>2000</v>
      </c>
      <c r="I395" s="10">
        <v>2000</v>
      </c>
      <c r="J395" s="10">
        <v>2000</v>
      </c>
      <c r="K395" s="10">
        <v>2023</v>
      </c>
      <c r="L395" s="10">
        <v>1839</v>
      </c>
    </row>
    <row r="396" spans="2:12" x14ac:dyDescent="0.25">
      <c r="B396" s="43">
        <f t="shared" si="140"/>
        <v>389</v>
      </c>
      <c r="C396" s="33">
        <v>220</v>
      </c>
      <c r="D396" s="33"/>
      <c r="E396" s="33"/>
      <c r="F396" s="33"/>
      <c r="G396" s="5" t="s">
        <v>35</v>
      </c>
      <c r="H396" s="6">
        <f>H397</f>
        <v>23000</v>
      </c>
      <c r="I396" s="6">
        <f t="shared" ref="I396:L396" si="144">I397</f>
        <v>11000</v>
      </c>
      <c r="J396" s="6">
        <f t="shared" si="144"/>
        <v>23000</v>
      </c>
      <c r="K396" s="6">
        <f t="shared" si="144"/>
        <v>24140</v>
      </c>
      <c r="L396" s="6">
        <f t="shared" si="144"/>
        <v>24795</v>
      </c>
    </row>
    <row r="397" spans="2:12" x14ac:dyDescent="0.25">
      <c r="B397" s="43">
        <f t="shared" si="140"/>
        <v>390</v>
      </c>
      <c r="C397" s="34"/>
      <c r="D397" s="34">
        <v>223</v>
      </c>
      <c r="E397" s="34"/>
      <c r="F397" s="34"/>
      <c r="G397" s="7" t="s">
        <v>41</v>
      </c>
      <c r="H397" s="8">
        <f>H399+H400+H398</f>
        <v>23000</v>
      </c>
      <c r="I397" s="8">
        <f t="shared" ref="I397:L397" si="145">I400+I399</f>
        <v>11000</v>
      </c>
      <c r="J397" s="8">
        <f t="shared" si="145"/>
        <v>23000</v>
      </c>
      <c r="K397" s="8">
        <f t="shared" si="145"/>
        <v>24140</v>
      </c>
      <c r="L397" s="8">
        <f t="shared" si="145"/>
        <v>24795</v>
      </c>
    </row>
    <row r="398" spans="2:12" x14ac:dyDescent="0.25">
      <c r="B398" s="43"/>
      <c r="C398" s="34"/>
      <c r="D398" s="34"/>
      <c r="E398" s="35">
        <v>223001</v>
      </c>
      <c r="F398" s="35"/>
      <c r="G398" s="9" t="s">
        <v>42</v>
      </c>
      <c r="H398" s="10">
        <v>12000</v>
      </c>
      <c r="I398" s="10"/>
      <c r="J398" s="10"/>
      <c r="K398" s="10"/>
      <c r="L398" s="10"/>
    </row>
    <row r="399" spans="2:12" x14ac:dyDescent="0.25">
      <c r="B399" s="43">
        <f>B397+1</f>
        <v>391</v>
      </c>
      <c r="C399" s="35"/>
      <c r="D399" s="35"/>
      <c r="E399" s="35">
        <v>223002</v>
      </c>
      <c r="F399" s="35"/>
      <c r="G399" s="9" t="s">
        <v>58</v>
      </c>
      <c r="H399" s="10">
        <v>11000</v>
      </c>
      <c r="I399" s="10">
        <v>11000</v>
      </c>
      <c r="J399" s="10">
        <v>11000</v>
      </c>
      <c r="K399" s="10">
        <v>15152</v>
      </c>
      <c r="L399" s="10">
        <v>14759</v>
      </c>
    </row>
    <row r="400" spans="2:12" x14ac:dyDescent="0.25">
      <c r="B400" s="43">
        <f t="shared" si="140"/>
        <v>392</v>
      </c>
      <c r="C400" s="35"/>
      <c r="D400" s="35"/>
      <c r="E400" s="35">
        <v>223003</v>
      </c>
      <c r="F400" s="35"/>
      <c r="G400" s="9" t="s">
        <v>101</v>
      </c>
      <c r="H400" s="10"/>
      <c r="I400" s="10">
        <v>0</v>
      </c>
      <c r="J400" s="10">
        <v>12000</v>
      </c>
      <c r="K400" s="10">
        <v>8988</v>
      </c>
      <c r="L400" s="10">
        <v>10036</v>
      </c>
    </row>
    <row r="401" spans="2:12" x14ac:dyDescent="0.25">
      <c r="B401" s="43">
        <f t="shared" si="140"/>
        <v>393</v>
      </c>
      <c r="C401" s="33">
        <v>290</v>
      </c>
      <c r="D401" s="33"/>
      <c r="E401" s="33"/>
      <c r="F401" s="33"/>
      <c r="G401" s="5" t="s">
        <v>49</v>
      </c>
      <c r="H401" s="6">
        <f>H402</f>
        <v>0</v>
      </c>
      <c r="I401" s="6">
        <f t="shared" ref="I401:L401" si="146">I402</f>
        <v>0</v>
      </c>
      <c r="J401" s="6">
        <f t="shared" si="146"/>
        <v>0</v>
      </c>
      <c r="K401" s="6">
        <f t="shared" si="146"/>
        <v>176</v>
      </c>
      <c r="L401" s="6">
        <f t="shared" si="146"/>
        <v>372</v>
      </c>
    </row>
    <row r="402" spans="2:12" x14ac:dyDescent="0.25">
      <c r="B402" s="43">
        <f t="shared" si="140"/>
        <v>394</v>
      </c>
      <c r="C402" s="34"/>
      <c r="D402" s="34">
        <v>292</v>
      </c>
      <c r="E402" s="34"/>
      <c r="F402" s="34"/>
      <c r="G402" s="7" t="s">
        <v>50</v>
      </c>
      <c r="H402" s="8">
        <f>H403+H404</f>
        <v>0</v>
      </c>
      <c r="I402" s="8">
        <f t="shared" ref="I402:L402" si="147">I404+I403</f>
        <v>0</v>
      </c>
      <c r="J402" s="8">
        <f t="shared" si="147"/>
        <v>0</v>
      </c>
      <c r="K402" s="8">
        <f t="shared" si="147"/>
        <v>176</v>
      </c>
      <c r="L402" s="8">
        <f t="shared" si="147"/>
        <v>372</v>
      </c>
    </row>
    <row r="403" spans="2:12" x14ac:dyDescent="0.25">
      <c r="B403" s="43">
        <f t="shared" si="140"/>
        <v>395</v>
      </c>
      <c r="C403" s="35"/>
      <c r="D403" s="35"/>
      <c r="E403" s="35">
        <v>292012</v>
      </c>
      <c r="F403" s="35"/>
      <c r="G403" s="9" t="s">
        <v>53</v>
      </c>
      <c r="H403" s="10">
        <v>0</v>
      </c>
      <c r="I403" s="10">
        <v>0</v>
      </c>
      <c r="J403" s="10"/>
      <c r="K403" s="10">
        <v>171</v>
      </c>
      <c r="L403" s="10">
        <v>372</v>
      </c>
    </row>
    <row r="404" spans="2:12" ht="15.75" thickBot="1" x14ac:dyDescent="0.3">
      <c r="B404" s="43">
        <f t="shared" ref="B404:B432" si="148">B403+1</f>
        <v>396</v>
      </c>
      <c r="C404" s="35"/>
      <c r="D404" s="35"/>
      <c r="E404" s="35">
        <v>292027</v>
      </c>
      <c r="F404" s="35"/>
      <c r="G404" s="9" t="s">
        <v>56</v>
      </c>
      <c r="H404" s="10">
        <v>0</v>
      </c>
      <c r="I404" s="10">
        <v>0</v>
      </c>
      <c r="J404" s="10"/>
      <c r="K404" s="10">
        <f>5</f>
        <v>5</v>
      </c>
      <c r="L404" s="10">
        <v>0</v>
      </c>
    </row>
    <row r="405" spans="2:12" ht="15.75" thickBot="1" x14ac:dyDescent="0.3">
      <c r="B405" s="43">
        <f t="shared" si="148"/>
        <v>397</v>
      </c>
      <c r="C405" s="32">
        <v>8</v>
      </c>
      <c r="D405" s="32"/>
      <c r="E405" s="32"/>
      <c r="F405" s="32"/>
      <c r="G405" s="3" t="s">
        <v>186</v>
      </c>
      <c r="H405" s="4">
        <f>H406+H409+H412+H415</f>
        <v>41700</v>
      </c>
      <c r="I405" s="4">
        <f t="shared" ref="I405:L405" si="149">I415+I412+I409+I406</f>
        <v>38730</v>
      </c>
      <c r="J405" s="4">
        <f t="shared" si="149"/>
        <v>38730</v>
      </c>
      <c r="K405" s="4">
        <f t="shared" si="149"/>
        <v>40173.9</v>
      </c>
      <c r="L405" s="4">
        <f t="shared" si="149"/>
        <v>43278</v>
      </c>
    </row>
    <row r="406" spans="2:12" x14ac:dyDescent="0.25">
      <c r="B406" s="43">
        <f t="shared" si="148"/>
        <v>398</v>
      </c>
      <c r="C406" s="33">
        <v>210</v>
      </c>
      <c r="D406" s="33"/>
      <c r="E406" s="33"/>
      <c r="F406" s="33"/>
      <c r="G406" s="5" t="s">
        <v>28</v>
      </c>
      <c r="H406" s="6">
        <f>H407</f>
        <v>20100</v>
      </c>
      <c r="I406" s="6">
        <f t="shared" ref="I406:L407" si="150">I407</f>
        <v>18025</v>
      </c>
      <c r="J406" s="6">
        <f t="shared" si="150"/>
        <v>18025</v>
      </c>
      <c r="K406" s="6">
        <f t="shared" si="150"/>
        <v>19054.490000000002</v>
      </c>
      <c r="L406" s="6">
        <f t="shared" si="150"/>
        <v>21157</v>
      </c>
    </row>
    <row r="407" spans="2:12" x14ac:dyDescent="0.25">
      <c r="B407" s="43">
        <f t="shared" si="148"/>
        <v>399</v>
      </c>
      <c r="C407" s="34"/>
      <c r="D407" s="34">
        <v>212</v>
      </c>
      <c r="E407" s="34"/>
      <c r="F407" s="34"/>
      <c r="G407" s="7" t="s">
        <v>31</v>
      </c>
      <c r="H407" s="8">
        <f>H408</f>
        <v>20100</v>
      </c>
      <c r="I407" s="8">
        <f t="shared" si="150"/>
        <v>18025</v>
      </c>
      <c r="J407" s="8">
        <f t="shared" si="150"/>
        <v>18025</v>
      </c>
      <c r="K407" s="8">
        <f t="shared" si="150"/>
        <v>19054.490000000002</v>
      </c>
      <c r="L407" s="8">
        <f t="shared" si="150"/>
        <v>21157</v>
      </c>
    </row>
    <row r="408" spans="2:12" x14ac:dyDescent="0.25">
      <c r="B408" s="43">
        <f t="shared" si="148"/>
        <v>400</v>
      </c>
      <c r="C408" s="35"/>
      <c r="D408" s="35"/>
      <c r="E408" s="35">
        <v>212003</v>
      </c>
      <c r="F408" s="35"/>
      <c r="G408" s="9" t="s">
        <v>33</v>
      </c>
      <c r="H408" s="10">
        <v>20100</v>
      </c>
      <c r="I408" s="10">
        <v>18025</v>
      </c>
      <c r="J408" s="10">
        <v>18025</v>
      </c>
      <c r="K408" s="10">
        <v>19054.490000000002</v>
      </c>
      <c r="L408" s="10">
        <v>21157</v>
      </c>
    </row>
    <row r="409" spans="2:12" x14ac:dyDescent="0.25">
      <c r="B409" s="43">
        <f t="shared" si="148"/>
        <v>401</v>
      </c>
      <c r="C409" s="33">
        <v>220</v>
      </c>
      <c r="D409" s="33"/>
      <c r="E409" s="33"/>
      <c r="F409" s="33"/>
      <c r="G409" s="5" t="s">
        <v>35</v>
      </c>
      <c r="H409" s="6">
        <f>H410</f>
        <v>21600</v>
      </c>
      <c r="I409" s="6">
        <f t="shared" ref="I409:L410" si="151">I410</f>
        <v>20000</v>
      </c>
      <c r="J409" s="6">
        <f t="shared" si="151"/>
        <v>20000</v>
      </c>
      <c r="K409" s="6">
        <f t="shared" si="151"/>
        <v>21116.59</v>
      </c>
      <c r="L409" s="6">
        <f t="shared" si="151"/>
        <v>20162</v>
      </c>
    </row>
    <row r="410" spans="2:12" x14ac:dyDescent="0.25">
      <c r="B410" s="43">
        <f t="shared" si="148"/>
        <v>402</v>
      </c>
      <c r="C410" s="34"/>
      <c r="D410" s="34">
        <v>223</v>
      </c>
      <c r="E410" s="34"/>
      <c r="F410" s="34"/>
      <c r="G410" s="7" t="s">
        <v>41</v>
      </c>
      <c r="H410" s="8">
        <f>H411</f>
        <v>21600</v>
      </c>
      <c r="I410" s="8">
        <f t="shared" si="151"/>
        <v>20000</v>
      </c>
      <c r="J410" s="8">
        <f t="shared" si="151"/>
        <v>20000</v>
      </c>
      <c r="K410" s="8">
        <f t="shared" si="151"/>
        <v>21116.59</v>
      </c>
      <c r="L410" s="8">
        <f t="shared" si="151"/>
        <v>20162</v>
      </c>
    </row>
    <row r="411" spans="2:12" x14ac:dyDescent="0.25">
      <c r="B411" s="43">
        <f t="shared" si="148"/>
        <v>403</v>
      </c>
      <c r="C411" s="35"/>
      <c r="D411" s="35"/>
      <c r="E411" s="35">
        <v>223002</v>
      </c>
      <c r="F411" s="35"/>
      <c r="G411" s="9" t="s">
        <v>58</v>
      </c>
      <c r="H411" s="10">
        <v>21600</v>
      </c>
      <c r="I411" s="10">
        <v>20000</v>
      </c>
      <c r="J411" s="10">
        <v>20000</v>
      </c>
      <c r="K411" s="10">
        <v>21116.59</v>
      </c>
      <c r="L411" s="10">
        <v>20162</v>
      </c>
    </row>
    <row r="412" spans="2:12" x14ac:dyDescent="0.25">
      <c r="B412" s="43">
        <f t="shared" si="148"/>
        <v>404</v>
      </c>
      <c r="C412" s="33">
        <v>240</v>
      </c>
      <c r="D412" s="33"/>
      <c r="E412" s="33"/>
      <c r="F412" s="33"/>
      <c r="G412" s="5" t="s">
        <v>46</v>
      </c>
      <c r="H412" s="6">
        <f>H413</f>
        <v>0</v>
      </c>
      <c r="I412" s="6">
        <f t="shared" ref="I412:L413" si="152">I413</f>
        <v>5</v>
      </c>
      <c r="J412" s="6">
        <f t="shared" si="152"/>
        <v>5</v>
      </c>
      <c r="K412" s="6">
        <f t="shared" si="152"/>
        <v>2.82</v>
      </c>
      <c r="L412" s="6">
        <f t="shared" si="152"/>
        <v>3</v>
      </c>
    </row>
    <row r="413" spans="2:12" x14ac:dyDescent="0.25">
      <c r="B413" s="43">
        <f t="shared" si="148"/>
        <v>405</v>
      </c>
      <c r="C413" s="34"/>
      <c r="D413" s="34">
        <v>242</v>
      </c>
      <c r="E413" s="34"/>
      <c r="F413" s="34"/>
      <c r="G413" s="7" t="s">
        <v>47</v>
      </c>
      <c r="H413" s="8">
        <f>H414</f>
        <v>0</v>
      </c>
      <c r="I413" s="8">
        <f t="shared" si="152"/>
        <v>5</v>
      </c>
      <c r="J413" s="8">
        <f t="shared" si="152"/>
        <v>5</v>
      </c>
      <c r="K413" s="8">
        <f t="shared" si="152"/>
        <v>2.82</v>
      </c>
      <c r="L413" s="8">
        <f t="shared" si="152"/>
        <v>3</v>
      </c>
    </row>
    <row r="414" spans="2:12" x14ac:dyDescent="0.25">
      <c r="B414" s="43">
        <f t="shared" si="148"/>
        <v>406</v>
      </c>
      <c r="C414" s="35"/>
      <c r="D414" s="35"/>
      <c r="E414" s="35">
        <v>242</v>
      </c>
      <c r="F414" s="35"/>
      <c r="G414" s="9" t="s">
        <v>47</v>
      </c>
      <c r="H414" s="10">
        <v>0</v>
      </c>
      <c r="I414" s="10">
        <v>5</v>
      </c>
      <c r="J414" s="10">
        <v>5</v>
      </c>
      <c r="K414" s="10">
        <v>2.82</v>
      </c>
      <c r="L414" s="10">
        <v>3</v>
      </c>
    </row>
    <row r="415" spans="2:12" x14ac:dyDescent="0.25">
      <c r="B415" s="43">
        <f t="shared" si="148"/>
        <v>407</v>
      </c>
      <c r="C415" s="33">
        <v>290</v>
      </c>
      <c r="D415" s="33"/>
      <c r="E415" s="33"/>
      <c r="F415" s="33"/>
      <c r="G415" s="5" t="s">
        <v>49</v>
      </c>
      <c r="H415" s="6">
        <f>H416</f>
        <v>0</v>
      </c>
      <c r="I415" s="6">
        <f t="shared" ref="I415:L416" si="153">I416</f>
        <v>700</v>
      </c>
      <c r="J415" s="6">
        <f t="shared" si="153"/>
        <v>700</v>
      </c>
      <c r="K415" s="6">
        <f t="shared" si="153"/>
        <v>0</v>
      </c>
      <c r="L415" s="6">
        <f t="shared" si="153"/>
        <v>1956</v>
      </c>
    </row>
    <row r="416" spans="2:12" x14ac:dyDescent="0.25">
      <c r="B416" s="43">
        <f t="shared" si="148"/>
        <v>408</v>
      </c>
      <c r="C416" s="34"/>
      <c r="D416" s="34">
        <v>292</v>
      </c>
      <c r="E416" s="34"/>
      <c r="F416" s="34"/>
      <c r="G416" s="7" t="s">
        <v>50</v>
      </c>
      <c r="H416" s="8">
        <f>H417</f>
        <v>0</v>
      </c>
      <c r="I416" s="8">
        <f t="shared" si="153"/>
        <v>700</v>
      </c>
      <c r="J416" s="8">
        <f t="shared" si="153"/>
        <v>700</v>
      </c>
      <c r="K416" s="8">
        <f t="shared" si="153"/>
        <v>0</v>
      </c>
      <c r="L416" s="8">
        <f t="shared" si="153"/>
        <v>1956</v>
      </c>
    </row>
    <row r="417" spans="2:12" ht="15.75" thickBot="1" x14ac:dyDescent="0.3">
      <c r="B417" s="43">
        <f t="shared" si="148"/>
        <v>409</v>
      </c>
      <c r="C417" s="35"/>
      <c r="D417" s="35"/>
      <c r="E417" s="35">
        <v>292012</v>
      </c>
      <c r="F417" s="35"/>
      <c r="G417" s="9" t="s">
        <v>53</v>
      </c>
      <c r="H417" s="10">
        <v>0</v>
      </c>
      <c r="I417" s="10">
        <v>700</v>
      </c>
      <c r="J417" s="10">
        <v>700</v>
      </c>
      <c r="K417" s="10"/>
      <c r="L417" s="10">
        <v>1956</v>
      </c>
    </row>
    <row r="418" spans="2:12" ht="15.75" thickBot="1" x14ac:dyDescent="0.3">
      <c r="B418" s="43">
        <f t="shared" si="148"/>
        <v>410</v>
      </c>
      <c r="C418" s="32">
        <v>9</v>
      </c>
      <c r="D418" s="32"/>
      <c r="E418" s="32"/>
      <c r="F418" s="32"/>
      <c r="G418" s="3" t="s">
        <v>187</v>
      </c>
      <c r="H418" s="4">
        <f>H419+H422+H426+H429</f>
        <v>17000</v>
      </c>
      <c r="I418" s="4">
        <f>I429+I426+I422+I419</f>
        <v>9910</v>
      </c>
      <c r="J418" s="4">
        <f>J429+J426+J422+J419</f>
        <v>15910</v>
      </c>
      <c r="K418" s="4">
        <f>K429+K426+K422+K419</f>
        <v>26038.87</v>
      </c>
      <c r="L418" s="4">
        <f>L429+L426+L422+L419</f>
        <v>26932</v>
      </c>
    </row>
    <row r="419" spans="2:12" x14ac:dyDescent="0.25">
      <c r="B419" s="43">
        <f t="shared" si="148"/>
        <v>411</v>
      </c>
      <c r="C419" s="33">
        <v>210</v>
      </c>
      <c r="D419" s="33"/>
      <c r="E419" s="33"/>
      <c r="F419" s="33"/>
      <c r="G419" s="5" t="s">
        <v>28</v>
      </c>
      <c r="H419" s="6">
        <f>H420</f>
        <v>3000</v>
      </c>
      <c r="I419" s="6">
        <f t="shared" ref="I419:L420" si="154">I420</f>
        <v>2705</v>
      </c>
      <c r="J419" s="6">
        <f t="shared" si="154"/>
        <v>2705</v>
      </c>
      <c r="K419" s="6">
        <f t="shared" si="154"/>
        <v>5225.3</v>
      </c>
      <c r="L419" s="6">
        <f t="shared" si="154"/>
        <v>20262</v>
      </c>
    </row>
    <row r="420" spans="2:12" x14ac:dyDescent="0.25">
      <c r="B420" s="43">
        <f t="shared" si="148"/>
        <v>412</v>
      </c>
      <c r="C420" s="34"/>
      <c r="D420" s="34">
        <v>212</v>
      </c>
      <c r="E420" s="34"/>
      <c r="F420" s="34"/>
      <c r="G420" s="7" t="s">
        <v>31</v>
      </c>
      <c r="H420" s="8">
        <f>H421</f>
        <v>3000</v>
      </c>
      <c r="I420" s="8">
        <f t="shared" si="154"/>
        <v>2705</v>
      </c>
      <c r="J420" s="8">
        <f t="shared" si="154"/>
        <v>2705</v>
      </c>
      <c r="K420" s="8">
        <f t="shared" si="154"/>
        <v>5225.3</v>
      </c>
      <c r="L420" s="8">
        <f t="shared" si="154"/>
        <v>20262</v>
      </c>
    </row>
    <row r="421" spans="2:12" x14ac:dyDescent="0.25">
      <c r="B421" s="43">
        <f t="shared" si="148"/>
        <v>413</v>
      </c>
      <c r="C421" s="35"/>
      <c r="D421" s="35"/>
      <c r="E421" s="35">
        <v>212003</v>
      </c>
      <c r="F421" s="35"/>
      <c r="G421" s="9" t="s">
        <v>33</v>
      </c>
      <c r="H421" s="10">
        <v>3000</v>
      </c>
      <c r="I421" s="10">
        <v>2705</v>
      </c>
      <c r="J421" s="10">
        <v>2705</v>
      </c>
      <c r="K421" s="10">
        <v>5225.3</v>
      </c>
      <c r="L421" s="10">
        <v>20262</v>
      </c>
    </row>
    <row r="422" spans="2:12" x14ac:dyDescent="0.25">
      <c r="B422" s="43">
        <f t="shared" si="148"/>
        <v>414</v>
      </c>
      <c r="C422" s="33">
        <v>220</v>
      </c>
      <c r="D422" s="33"/>
      <c r="E422" s="33"/>
      <c r="F422" s="33"/>
      <c r="G422" s="5" t="s">
        <v>35</v>
      </c>
      <c r="H422" s="6">
        <f>H423</f>
        <v>13500</v>
      </c>
      <c r="I422" s="6">
        <f t="shared" ref="I422:L422" si="155">I423</f>
        <v>6500</v>
      </c>
      <c r="J422" s="6">
        <f t="shared" si="155"/>
        <v>12500</v>
      </c>
      <c r="K422" s="6">
        <f t="shared" si="155"/>
        <v>6650.94</v>
      </c>
      <c r="L422" s="6">
        <f t="shared" si="155"/>
        <v>6669</v>
      </c>
    </row>
    <row r="423" spans="2:12" x14ac:dyDescent="0.25">
      <c r="B423" s="43">
        <f t="shared" si="148"/>
        <v>415</v>
      </c>
      <c r="C423" s="34"/>
      <c r="D423" s="34">
        <v>223</v>
      </c>
      <c r="E423" s="34"/>
      <c r="F423" s="34"/>
      <c r="G423" s="7" t="s">
        <v>41</v>
      </c>
      <c r="H423" s="8">
        <f>H424+H425</f>
        <v>13500</v>
      </c>
      <c r="I423" s="8">
        <f t="shared" ref="I423:L423" si="156">I424+I425</f>
        <v>6500</v>
      </c>
      <c r="J423" s="8">
        <f t="shared" si="156"/>
        <v>12500</v>
      </c>
      <c r="K423" s="8">
        <f t="shared" si="156"/>
        <v>6650.94</v>
      </c>
      <c r="L423" s="8">
        <f t="shared" si="156"/>
        <v>6669</v>
      </c>
    </row>
    <row r="424" spans="2:12" x14ac:dyDescent="0.25">
      <c r="B424" s="43">
        <f t="shared" si="148"/>
        <v>416</v>
      </c>
      <c r="C424" s="35"/>
      <c r="D424" s="35"/>
      <c r="E424" s="35">
        <v>223001</v>
      </c>
      <c r="F424" s="35"/>
      <c r="G424" s="9" t="s">
        <v>42</v>
      </c>
      <c r="H424" s="10">
        <v>6000</v>
      </c>
      <c r="I424" s="10"/>
      <c r="J424" s="10">
        <v>6000</v>
      </c>
      <c r="K424" s="10">
        <v>0</v>
      </c>
      <c r="L424" s="10">
        <v>0</v>
      </c>
    </row>
    <row r="425" spans="2:12" x14ac:dyDescent="0.25">
      <c r="B425" s="43">
        <f t="shared" si="148"/>
        <v>417</v>
      </c>
      <c r="C425" s="35"/>
      <c r="D425" s="35"/>
      <c r="E425" s="35">
        <v>223002</v>
      </c>
      <c r="F425" s="35"/>
      <c r="G425" s="9" t="s">
        <v>58</v>
      </c>
      <c r="H425" s="10">
        <v>7500</v>
      </c>
      <c r="I425" s="10">
        <v>6500</v>
      </c>
      <c r="J425" s="10">
        <v>6500</v>
      </c>
      <c r="K425" s="10">
        <v>6650.94</v>
      </c>
      <c r="L425" s="10">
        <v>6669</v>
      </c>
    </row>
    <row r="426" spans="2:12" x14ac:dyDescent="0.25">
      <c r="B426" s="43">
        <f t="shared" si="148"/>
        <v>418</v>
      </c>
      <c r="C426" s="33">
        <v>240</v>
      </c>
      <c r="D426" s="33"/>
      <c r="E426" s="33"/>
      <c r="F426" s="33"/>
      <c r="G426" s="5" t="s">
        <v>46</v>
      </c>
      <c r="H426" s="6">
        <f>H427</f>
        <v>0</v>
      </c>
      <c r="I426" s="6">
        <f t="shared" ref="I426:L427" si="157">I427</f>
        <v>5</v>
      </c>
      <c r="J426" s="6">
        <f t="shared" si="157"/>
        <v>5</v>
      </c>
      <c r="K426" s="6">
        <f t="shared" si="157"/>
        <v>2</v>
      </c>
      <c r="L426" s="6">
        <f t="shared" si="157"/>
        <v>1</v>
      </c>
    </row>
    <row r="427" spans="2:12" x14ac:dyDescent="0.25">
      <c r="B427" s="43">
        <f t="shared" si="148"/>
        <v>419</v>
      </c>
      <c r="C427" s="34"/>
      <c r="D427" s="34">
        <v>242</v>
      </c>
      <c r="E427" s="34"/>
      <c r="F427" s="34"/>
      <c r="G427" s="7" t="s">
        <v>47</v>
      </c>
      <c r="H427" s="8">
        <f>H428</f>
        <v>0</v>
      </c>
      <c r="I427" s="8">
        <f t="shared" si="157"/>
        <v>5</v>
      </c>
      <c r="J427" s="8">
        <f t="shared" si="157"/>
        <v>5</v>
      </c>
      <c r="K427" s="8">
        <f t="shared" si="157"/>
        <v>2</v>
      </c>
      <c r="L427" s="8">
        <f t="shared" si="157"/>
        <v>1</v>
      </c>
    </row>
    <row r="428" spans="2:12" x14ac:dyDescent="0.25">
      <c r="B428" s="43">
        <f t="shared" si="148"/>
        <v>420</v>
      </c>
      <c r="C428" s="35"/>
      <c r="D428" s="35"/>
      <c r="E428" s="35">
        <v>242</v>
      </c>
      <c r="F428" s="35"/>
      <c r="G428" s="9" t="s">
        <v>47</v>
      </c>
      <c r="H428" s="10">
        <v>0</v>
      </c>
      <c r="I428" s="10">
        <v>5</v>
      </c>
      <c r="J428" s="10">
        <v>5</v>
      </c>
      <c r="K428" s="10">
        <v>2</v>
      </c>
      <c r="L428" s="10">
        <v>1</v>
      </c>
    </row>
    <row r="429" spans="2:12" x14ac:dyDescent="0.25">
      <c r="B429" s="43">
        <f t="shared" si="148"/>
        <v>421</v>
      </c>
      <c r="C429" s="33">
        <v>290</v>
      </c>
      <c r="D429" s="33"/>
      <c r="E429" s="33"/>
      <c r="F429" s="33"/>
      <c r="G429" s="5" t="s">
        <v>49</v>
      </c>
      <c r="H429" s="6">
        <f>H430</f>
        <v>500</v>
      </c>
      <c r="I429" s="6">
        <f t="shared" ref="I429:L430" si="158">I430</f>
        <v>700</v>
      </c>
      <c r="J429" s="6">
        <f t="shared" si="158"/>
        <v>700</v>
      </c>
      <c r="K429" s="6">
        <f t="shared" si="158"/>
        <v>14160.63</v>
      </c>
      <c r="L429" s="6">
        <f t="shared" si="158"/>
        <v>0</v>
      </c>
    </row>
    <row r="430" spans="2:12" x14ac:dyDescent="0.25">
      <c r="B430" s="43">
        <f t="shared" si="148"/>
        <v>422</v>
      </c>
      <c r="C430" s="34"/>
      <c r="D430" s="34">
        <v>292</v>
      </c>
      <c r="E430" s="34"/>
      <c r="F430" s="34"/>
      <c r="G430" s="7" t="s">
        <v>50</v>
      </c>
      <c r="H430" s="8">
        <f>H431</f>
        <v>500</v>
      </c>
      <c r="I430" s="8">
        <f t="shared" si="158"/>
        <v>700</v>
      </c>
      <c r="J430" s="8">
        <f t="shared" si="158"/>
        <v>700</v>
      </c>
      <c r="K430" s="8">
        <f t="shared" si="158"/>
        <v>14160.63</v>
      </c>
      <c r="L430" s="8">
        <f t="shared" si="158"/>
        <v>0</v>
      </c>
    </row>
    <row r="431" spans="2:12" ht="15.75" thickBot="1" x14ac:dyDescent="0.3">
      <c r="B431" s="43">
        <f t="shared" si="148"/>
        <v>423</v>
      </c>
      <c r="C431" s="35"/>
      <c r="D431" s="35"/>
      <c r="E431" s="35">
        <v>292012</v>
      </c>
      <c r="F431" s="35"/>
      <c r="G431" s="9" t="s">
        <v>53</v>
      </c>
      <c r="H431" s="10">
        <v>500</v>
      </c>
      <c r="I431" s="10">
        <v>700</v>
      </c>
      <c r="J431" s="10">
        <v>700</v>
      </c>
      <c r="K431" s="10">
        <v>14160.63</v>
      </c>
      <c r="L431" s="10">
        <v>0</v>
      </c>
    </row>
    <row r="432" spans="2:12" ht="15.75" thickBot="1" x14ac:dyDescent="0.3">
      <c r="B432" s="43">
        <f t="shared" si="148"/>
        <v>424</v>
      </c>
      <c r="C432" s="32">
        <v>10</v>
      </c>
      <c r="D432" s="32"/>
      <c r="E432" s="32"/>
      <c r="F432" s="32"/>
      <c r="G432" s="3" t="s">
        <v>188</v>
      </c>
      <c r="H432" s="4">
        <f>H433+H436+H440+H443</f>
        <v>21200</v>
      </c>
      <c r="I432" s="4">
        <f>I443+I440+I436+I433</f>
        <v>10070</v>
      </c>
      <c r="J432" s="4">
        <f>J443+J440+J436+J433</f>
        <v>21070</v>
      </c>
      <c r="K432" s="4">
        <f>K443+K440+K436+K433</f>
        <v>16228.649999999998</v>
      </c>
      <c r="L432" s="4">
        <f>L443+L440+L436+L433</f>
        <v>31729</v>
      </c>
    </row>
    <row r="433" spans="2:12" x14ac:dyDescent="0.25">
      <c r="B433" s="43">
        <f t="shared" ref="B433:B495" si="159">B432+1</f>
        <v>425</v>
      </c>
      <c r="C433" s="33">
        <v>210</v>
      </c>
      <c r="D433" s="33"/>
      <c r="E433" s="33"/>
      <c r="F433" s="33"/>
      <c r="G433" s="5" t="s">
        <v>28</v>
      </c>
      <c r="H433" s="6">
        <f>H434</f>
        <v>5100</v>
      </c>
      <c r="I433" s="6">
        <f t="shared" ref="I433:L434" si="160">I434</f>
        <v>5000</v>
      </c>
      <c r="J433" s="6">
        <f t="shared" si="160"/>
        <v>5000</v>
      </c>
      <c r="K433" s="6">
        <f t="shared" si="160"/>
        <v>5242.03</v>
      </c>
      <c r="L433" s="6">
        <f t="shared" si="160"/>
        <v>10644</v>
      </c>
    </row>
    <row r="434" spans="2:12" x14ac:dyDescent="0.25">
      <c r="B434" s="43">
        <f t="shared" si="159"/>
        <v>426</v>
      </c>
      <c r="C434" s="34"/>
      <c r="D434" s="34">
        <v>212</v>
      </c>
      <c r="E434" s="34"/>
      <c r="F434" s="34"/>
      <c r="G434" s="7" t="s">
        <v>31</v>
      </c>
      <c r="H434" s="8">
        <f>H435</f>
        <v>5100</v>
      </c>
      <c r="I434" s="8">
        <f t="shared" si="160"/>
        <v>5000</v>
      </c>
      <c r="J434" s="8">
        <f t="shared" si="160"/>
        <v>5000</v>
      </c>
      <c r="K434" s="8">
        <f t="shared" si="160"/>
        <v>5242.03</v>
      </c>
      <c r="L434" s="8">
        <f t="shared" si="160"/>
        <v>10644</v>
      </c>
    </row>
    <row r="435" spans="2:12" x14ac:dyDescent="0.25">
      <c r="B435" s="43">
        <f t="shared" si="159"/>
        <v>427</v>
      </c>
      <c r="C435" s="35"/>
      <c r="D435" s="35"/>
      <c r="E435" s="35">
        <v>212003</v>
      </c>
      <c r="F435" s="35"/>
      <c r="G435" s="9" t="s">
        <v>33</v>
      </c>
      <c r="H435" s="10">
        <v>5100</v>
      </c>
      <c r="I435" s="10">
        <v>5000</v>
      </c>
      <c r="J435" s="10">
        <v>5000</v>
      </c>
      <c r="K435" s="10">
        <v>5242.03</v>
      </c>
      <c r="L435" s="10">
        <v>10644</v>
      </c>
    </row>
    <row r="436" spans="2:12" x14ac:dyDescent="0.25">
      <c r="B436" s="43">
        <f t="shared" si="159"/>
        <v>428</v>
      </c>
      <c r="C436" s="33">
        <v>220</v>
      </c>
      <c r="D436" s="33"/>
      <c r="E436" s="33"/>
      <c r="F436" s="33"/>
      <c r="G436" s="5" t="s">
        <v>35</v>
      </c>
      <c r="H436" s="6">
        <f>H437</f>
        <v>15600</v>
      </c>
      <c r="I436" s="6">
        <f t="shared" ref="I436:L436" si="161">I437</f>
        <v>4565</v>
      </c>
      <c r="J436" s="6">
        <f t="shared" si="161"/>
        <v>15565</v>
      </c>
      <c r="K436" s="6">
        <f t="shared" si="161"/>
        <v>5025.71</v>
      </c>
      <c r="L436" s="6">
        <f t="shared" si="161"/>
        <v>4338</v>
      </c>
    </row>
    <row r="437" spans="2:12" x14ac:dyDescent="0.25">
      <c r="B437" s="43">
        <f t="shared" si="159"/>
        <v>429</v>
      </c>
      <c r="C437" s="34"/>
      <c r="D437" s="34">
        <v>223</v>
      </c>
      <c r="E437" s="34"/>
      <c r="F437" s="34"/>
      <c r="G437" s="7" t="s">
        <v>41</v>
      </c>
      <c r="H437" s="8">
        <f>H438+H439</f>
        <v>15600</v>
      </c>
      <c r="I437" s="8">
        <f t="shared" ref="I437:L437" si="162">I438+I439</f>
        <v>4565</v>
      </c>
      <c r="J437" s="8">
        <f t="shared" si="162"/>
        <v>15565</v>
      </c>
      <c r="K437" s="8">
        <f t="shared" si="162"/>
        <v>5025.71</v>
      </c>
      <c r="L437" s="8">
        <f t="shared" si="162"/>
        <v>4338</v>
      </c>
    </row>
    <row r="438" spans="2:12" x14ac:dyDescent="0.25">
      <c r="B438" s="43">
        <f t="shared" si="159"/>
        <v>430</v>
      </c>
      <c r="C438" s="35"/>
      <c r="D438" s="35"/>
      <c r="E438" s="35">
        <v>223001</v>
      </c>
      <c r="F438" s="35"/>
      <c r="G438" s="9" t="s">
        <v>42</v>
      </c>
      <c r="H438" s="10">
        <v>11000</v>
      </c>
      <c r="I438" s="10"/>
      <c r="J438" s="10">
        <v>11000</v>
      </c>
      <c r="K438" s="10">
        <v>0</v>
      </c>
      <c r="L438" s="10">
        <v>0</v>
      </c>
    </row>
    <row r="439" spans="2:12" x14ac:dyDescent="0.25">
      <c r="B439" s="43">
        <f t="shared" si="159"/>
        <v>431</v>
      </c>
      <c r="C439" s="35"/>
      <c r="D439" s="35"/>
      <c r="E439" s="35">
        <v>223002</v>
      </c>
      <c r="F439" s="35"/>
      <c r="G439" s="9" t="s">
        <v>58</v>
      </c>
      <c r="H439" s="10">
        <v>4600</v>
      </c>
      <c r="I439" s="10">
        <v>4565</v>
      </c>
      <c r="J439" s="10">
        <v>4565</v>
      </c>
      <c r="K439" s="10">
        <v>5025.71</v>
      </c>
      <c r="L439" s="10">
        <v>4338</v>
      </c>
    </row>
    <row r="440" spans="2:12" x14ac:dyDescent="0.25">
      <c r="B440" s="43">
        <f t="shared" si="159"/>
        <v>432</v>
      </c>
      <c r="C440" s="33">
        <v>240</v>
      </c>
      <c r="D440" s="33"/>
      <c r="E440" s="33"/>
      <c r="F440" s="33"/>
      <c r="G440" s="5" t="s">
        <v>46</v>
      </c>
      <c r="H440" s="6">
        <f>H441</f>
        <v>0</v>
      </c>
      <c r="I440" s="6">
        <f t="shared" ref="I440:L441" si="163">I441</f>
        <v>5</v>
      </c>
      <c r="J440" s="6">
        <f t="shared" si="163"/>
        <v>5</v>
      </c>
      <c r="K440" s="6">
        <f t="shared" si="163"/>
        <v>2.71</v>
      </c>
      <c r="L440" s="6">
        <f t="shared" si="163"/>
        <v>5</v>
      </c>
    </row>
    <row r="441" spans="2:12" x14ac:dyDescent="0.25">
      <c r="B441" s="43">
        <f t="shared" si="159"/>
        <v>433</v>
      </c>
      <c r="C441" s="34"/>
      <c r="D441" s="34">
        <v>242</v>
      </c>
      <c r="E441" s="34"/>
      <c r="F441" s="34"/>
      <c r="G441" s="7" t="s">
        <v>47</v>
      </c>
      <c r="H441" s="8">
        <f>H442</f>
        <v>0</v>
      </c>
      <c r="I441" s="8">
        <f t="shared" si="163"/>
        <v>5</v>
      </c>
      <c r="J441" s="8">
        <f t="shared" si="163"/>
        <v>5</v>
      </c>
      <c r="K441" s="8">
        <f t="shared" si="163"/>
        <v>2.71</v>
      </c>
      <c r="L441" s="8">
        <f t="shared" si="163"/>
        <v>5</v>
      </c>
    </row>
    <row r="442" spans="2:12" x14ac:dyDescent="0.25">
      <c r="B442" s="43">
        <f t="shared" si="159"/>
        <v>434</v>
      </c>
      <c r="C442" s="35"/>
      <c r="D442" s="35"/>
      <c r="E442" s="35">
        <v>242</v>
      </c>
      <c r="F442" s="35"/>
      <c r="G442" s="9" t="s">
        <v>47</v>
      </c>
      <c r="H442" s="10">
        <v>0</v>
      </c>
      <c r="I442" s="10">
        <v>5</v>
      </c>
      <c r="J442" s="10">
        <v>5</v>
      </c>
      <c r="K442" s="10">
        <v>2.71</v>
      </c>
      <c r="L442" s="10">
        <v>5</v>
      </c>
    </row>
    <row r="443" spans="2:12" x14ac:dyDescent="0.25">
      <c r="B443" s="43">
        <f t="shared" si="159"/>
        <v>435</v>
      </c>
      <c r="C443" s="33">
        <v>290</v>
      </c>
      <c r="D443" s="33"/>
      <c r="E443" s="33"/>
      <c r="F443" s="33"/>
      <c r="G443" s="5" t="s">
        <v>49</v>
      </c>
      <c r="H443" s="6">
        <f>H444</f>
        <v>500</v>
      </c>
      <c r="I443" s="6">
        <f t="shared" ref="I443:L444" si="164">I444</f>
        <v>500</v>
      </c>
      <c r="J443" s="6">
        <f t="shared" si="164"/>
        <v>500</v>
      </c>
      <c r="K443" s="6">
        <f t="shared" si="164"/>
        <v>5958.2</v>
      </c>
      <c r="L443" s="6">
        <f t="shared" si="164"/>
        <v>16742</v>
      </c>
    </row>
    <row r="444" spans="2:12" x14ac:dyDescent="0.25">
      <c r="B444" s="43">
        <f t="shared" si="159"/>
        <v>436</v>
      </c>
      <c r="C444" s="34"/>
      <c r="D444" s="34">
        <v>292</v>
      </c>
      <c r="E444" s="34"/>
      <c r="F444" s="34"/>
      <c r="G444" s="7" t="s">
        <v>50</v>
      </c>
      <c r="H444" s="8">
        <f>H445</f>
        <v>500</v>
      </c>
      <c r="I444" s="8">
        <f t="shared" si="164"/>
        <v>500</v>
      </c>
      <c r="J444" s="8">
        <f t="shared" si="164"/>
        <v>500</v>
      </c>
      <c r="K444" s="8">
        <f t="shared" si="164"/>
        <v>5958.2</v>
      </c>
      <c r="L444" s="8">
        <f t="shared" si="164"/>
        <v>16742</v>
      </c>
    </row>
    <row r="445" spans="2:12" ht="15.75" thickBot="1" x14ac:dyDescent="0.3">
      <c r="B445" s="43">
        <f t="shared" si="159"/>
        <v>437</v>
      </c>
      <c r="C445" s="35"/>
      <c r="D445" s="35"/>
      <c r="E445" s="35">
        <v>292012</v>
      </c>
      <c r="F445" s="35"/>
      <c r="G445" s="9" t="s">
        <v>53</v>
      </c>
      <c r="H445" s="10">
        <v>500</v>
      </c>
      <c r="I445" s="10">
        <v>500</v>
      </c>
      <c r="J445" s="10">
        <v>500</v>
      </c>
      <c r="K445" s="10">
        <v>5958.2</v>
      </c>
      <c r="L445" s="10">
        <v>16742</v>
      </c>
    </row>
    <row r="446" spans="2:12" ht="15.75" thickBot="1" x14ac:dyDescent="0.3">
      <c r="B446" s="43">
        <f t="shared" si="159"/>
        <v>438</v>
      </c>
      <c r="C446" s="32">
        <v>11</v>
      </c>
      <c r="D446" s="32"/>
      <c r="E446" s="32"/>
      <c r="F446" s="32"/>
      <c r="G446" s="3" t="s">
        <v>189</v>
      </c>
      <c r="H446" s="4">
        <f>H447+H450+H455+H458</f>
        <v>62700</v>
      </c>
      <c r="I446" s="4">
        <f>I458+I455+I450+I447</f>
        <v>47610</v>
      </c>
      <c r="J446" s="4">
        <f>J458+J455+J450+J447</f>
        <v>62255</v>
      </c>
      <c r="K446" s="4">
        <f>K458+K455+K450+K447</f>
        <v>51951.040000000001</v>
      </c>
      <c r="L446" s="4">
        <f>L458+L455+L450+L447</f>
        <v>50206</v>
      </c>
    </row>
    <row r="447" spans="2:12" x14ac:dyDescent="0.25">
      <c r="B447" s="43">
        <f t="shared" si="159"/>
        <v>439</v>
      </c>
      <c r="C447" s="33">
        <v>210</v>
      </c>
      <c r="D447" s="33"/>
      <c r="E447" s="33"/>
      <c r="F447" s="33"/>
      <c r="G447" s="5" t="s">
        <v>28</v>
      </c>
      <c r="H447" s="6">
        <f>H448</f>
        <v>37200</v>
      </c>
      <c r="I447" s="6">
        <f t="shared" ref="I447:L448" si="165">I448</f>
        <v>37000</v>
      </c>
      <c r="J447" s="6">
        <f t="shared" si="165"/>
        <v>37000</v>
      </c>
      <c r="K447" s="6">
        <f t="shared" si="165"/>
        <v>38633.99</v>
      </c>
      <c r="L447" s="6">
        <f t="shared" si="165"/>
        <v>35814</v>
      </c>
    </row>
    <row r="448" spans="2:12" x14ac:dyDescent="0.25">
      <c r="B448" s="43">
        <f t="shared" si="159"/>
        <v>440</v>
      </c>
      <c r="C448" s="34"/>
      <c r="D448" s="34">
        <v>212</v>
      </c>
      <c r="E448" s="34"/>
      <c r="F448" s="34"/>
      <c r="G448" s="7" t="s">
        <v>31</v>
      </c>
      <c r="H448" s="8">
        <f>H449</f>
        <v>37200</v>
      </c>
      <c r="I448" s="8">
        <f t="shared" si="165"/>
        <v>37000</v>
      </c>
      <c r="J448" s="8">
        <f t="shared" si="165"/>
        <v>37000</v>
      </c>
      <c r="K448" s="8">
        <f t="shared" si="165"/>
        <v>38633.99</v>
      </c>
      <c r="L448" s="8">
        <f t="shared" si="165"/>
        <v>35814</v>
      </c>
    </row>
    <row r="449" spans="2:12" x14ac:dyDescent="0.25">
      <c r="B449" s="43">
        <f t="shared" si="159"/>
        <v>441</v>
      </c>
      <c r="C449" s="35"/>
      <c r="D449" s="35"/>
      <c r="E449" s="35">
        <v>212003</v>
      </c>
      <c r="F449" s="35"/>
      <c r="G449" s="9" t="s">
        <v>33</v>
      </c>
      <c r="H449" s="10">
        <v>37200</v>
      </c>
      <c r="I449" s="10">
        <v>37000</v>
      </c>
      <c r="J449" s="10">
        <v>37000</v>
      </c>
      <c r="K449" s="10">
        <v>38633.99</v>
      </c>
      <c r="L449" s="10">
        <v>35814</v>
      </c>
    </row>
    <row r="450" spans="2:12" x14ac:dyDescent="0.25">
      <c r="B450" s="43">
        <f t="shared" si="159"/>
        <v>442</v>
      </c>
      <c r="C450" s="33">
        <v>220</v>
      </c>
      <c r="D450" s="33"/>
      <c r="E450" s="33"/>
      <c r="F450" s="33"/>
      <c r="G450" s="5" t="s">
        <v>35</v>
      </c>
      <c r="H450" s="6">
        <f>H451</f>
        <v>25000</v>
      </c>
      <c r="I450" s="6">
        <f t="shared" ref="I450:L450" si="166">I451</f>
        <v>10305</v>
      </c>
      <c r="J450" s="6">
        <f t="shared" si="166"/>
        <v>24950</v>
      </c>
      <c r="K450" s="6">
        <f t="shared" si="166"/>
        <v>13177.95</v>
      </c>
      <c r="L450" s="6">
        <f t="shared" si="166"/>
        <v>11329</v>
      </c>
    </row>
    <row r="451" spans="2:12" x14ac:dyDescent="0.25">
      <c r="B451" s="43">
        <f t="shared" si="159"/>
        <v>443</v>
      </c>
      <c r="C451" s="34"/>
      <c r="D451" s="34">
        <v>223</v>
      </c>
      <c r="E451" s="34"/>
      <c r="F451" s="34"/>
      <c r="G451" s="7" t="s">
        <v>41</v>
      </c>
      <c r="H451" s="8">
        <f>H453+H454+H452</f>
        <v>25000</v>
      </c>
      <c r="I451" s="8">
        <f t="shared" ref="I451:K451" si="167">I453+I454</f>
        <v>10305</v>
      </c>
      <c r="J451" s="8">
        <f t="shared" si="167"/>
        <v>24950</v>
      </c>
      <c r="K451" s="8">
        <f t="shared" si="167"/>
        <v>13177.95</v>
      </c>
      <c r="L451" s="8">
        <f>L453+L454</f>
        <v>11329</v>
      </c>
    </row>
    <row r="452" spans="2:12" x14ac:dyDescent="0.25">
      <c r="B452" s="43">
        <f t="shared" si="159"/>
        <v>444</v>
      </c>
      <c r="C452" s="34"/>
      <c r="D452" s="34"/>
      <c r="E452" s="35">
        <v>223001</v>
      </c>
      <c r="F452" s="35"/>
      <c r="G452" s="9" t="s">
        <v>42</v>
      </c>
      <c r="H452" s="10">
        <v>14700</v>
      </c>
      <c r="I452" s="10"/>
      <c r="J452" s="10"/>
      <c r="K452" s="10"/>
      <c r="L452" s="10"/>
    </row>
    <row r="453" spans="2:12" x14ac:dyDescent="0.25">
      <c r="B453" s="43">
        <f t="shared" si="159"/>
        <v>445</v>
      </c>
      <c r="C453" s="35"/>
      <c r="D453" s="35"/>
      <c r="E453" s="35">
        <v>223002</v>
      </c>
      <c r="F453" s="35"/>
      <c r="G453" s="9" t="s">
        <v>58</v>
      </c>
      <c r="H453" s="10">
        <v>10300</v>
      </c>
      <c r="I453" s="10">
        <v>10305</v>
      </c>
      <c r="J453" s="10">
        <v>10305</v>
      </c>
      <c r="K453" s="10">
        <v>13177.95</v>
      </c>
      <c r="L453" s="10">
        <v>11329</v>
      </c>
    </row>
    <row r="454" spans="2:12" x14ac:dyDescent="0.25">
      <c r="B454" s="43">
        <f t="shared" si="159"/>
        <v>446</v>
      </c>
      <c r="C454" s="35"/>
      <c r="D454" s="35"/>
      <c r="E454" s="35">
        <v>223003</v>
      </c>
      <c r="F454" s="35"/>
      <c r="G454" s="9" t="s">
        <v>101</v>
      </c>
      <c r="H454" s="10">
        <v>0</v>
      </c>
      <c r="I454" s="10">
        <v>0</v>
      </c>
      <c r="J454" s="10">
        <f>12000+2645</f>
        <v>14645</v>
      </c>
      <c r="K454" s="10">
        <v>0</v>
      </c>
      <c r="L454" s="10">
        <v>0</v>
      </c>
    </row>
    <row r="455" spans="2:12" x14ac:dyDescent="0.25">
      <c r="B455" s="43">
        <f t="shared" si="159"/>
        <v>447</v>
      </c>
      <c r="C455" s="33">
        <v>240</v>
      </c>
      <c r="D455" s="33"/>
      <c r="E455" s="33"/>
      <c r="F455" s="33"/>
      <c r="G455" s="5" t="s">
        <v>46</v>
      </c>
      <c r="H455" s="6">
        <f>H456</f>
        <v>0</v>
      </c>
      <c r="I455" s="6">
        <f t="shared" ref="I455:L456" si="168">I456</f>
        <v>5</v>
      </c>
      <c r="J455" s="6">
        <f t="shared" si="168"/>
        <v>5</v>
      </c>
      <c r="K455" s="6">
        <f t="shared" si="168"/>
        <v>2.85</v>
      </c>
      <c r="L455" s="6">
        <f t="shared" si="168"/>
        <v>3</v>
      </c>
    </row>
    <row r="456" spans="2:12" x14ac:dyDescent="0.25">
      <c r="B456" s="43">
        <f t="shared" si="159"/>
        <v>448</v>
      </c>
      <c r="C456" s="34"/>
      <c r="D456" s="34">
        <v>242</v>
      </c>
      <c r="E456" s="34"/>
      <c r="F456" s="34"/>
      <c r="G456" s="7" t="s">
        <v>47</v>
      </c>
      <c r="H456" s="8">
        <f>H457</f>
        <v>0</v>
      </c>
      <c r="I456" s="8">
        <f t="shared" si="168"/>
        <v>5</v>
      </c>
      <c r="J456" s="8">
        <f t="shared" si="168"/>
        <v>5</v>
      </c>
      <c r="K456" s="8">
        <f t="shared" si="168"/>
        <v>2.85</v>
      </c>
      <c r="L456" s="8">
        <f t="shared" si="168"/>
        <v>3</v>
      </c>
    </row>
    <row r="457" spans="2:12" x14ac:dyDescent="0.25">
      <c r="B457" s="43">
        <f t="shared" si="159"/>
        <v>449</v>
      </c>
      <c r="C457" s="35"/>
      <c r="D457" s="35"/>
      <c r="E457" s="35">
        <v>242</v>
      </c>
      <c r="F457" s="35"/>
      <c r="G457" s="9" t="s">
        <v>47</v>
      </c>
      <c r="H457" s="10">
        <v>0</v>
      </c>
      <c r="I457" s="10">
        <v>5</v>
      </c>
      <c r="J457" s="10">
        <v>5</v>
      </c>
      <c r="K457" s="10">
        <v>2.85</v>
      </c>
      <c r="L457" s="10">
        <v>3</v>
      </c>
    </row>
    <row r="458" spans="2:12" x14ac:dyDescent="0.25">
      <c r="B458" s="43">
        <f t="shared" si="159"/>
        <v>450</v>
      </c>
      <c r="C458" s="33">
        <v>290</v>
      </c>
      <c r="D458" s="33"/>
      <c r="E458" s="33"/>
      <c r="F458" s="33"/>
      <c r="G458" s="5" t="s">
        <v>49</v>
      </c>
      <c r="H458" s="6">
        <f>H459</f>
        <v>500</v>
      </c>
      <c r="I458" s="6">
        <f t="shared" ref="I458:L459" si="169">I459</f>
        <v>300</v>
      </c>
      <c r="J458" s="6">
        <f t="shared" si="169"/>
        <v>300</v>
      </c>
      <c r="K458" s="6">
        <f t="shared" si="169"/>
        <v>136.25</v>
      </c>
      <c r="L458" s="6">
        <f t="shared" si="169"/>
        <v>3060</v>
      </c>
    </row>
    <row r="459" spans="2:12" x14ac:dyDescent="0.25">
      <c r="B459" s="43">
        <f t="shared" si="159"/>
        <v>451</v>
      </c>
      <c r="C459" s="34"/>
      <c r="D459" s="34">
        <v>292</v>
      </c>
      <c r="E459" s="34"/>
      <c r="F459" s="34"/>
      <c r="G459" s="7" t="s">
        <v>50</v>
      </c>
      <c r="H459" s="8">
        <f>H460</f>
        <v>500</v>
      </c>
      <c r="I459" s="8">
        <f t="shared" si="169"/>
        <v>300</v>
      </c>
      <c r="J459" s="8">
        <f t="shared" si="169"/>
        <v>300</v>
      </c>
      <c r="K459" s="8">
        <f t="shared" si="169"/>
        <v>136.25</v>
      </c>
      <c r="L459" s="8">
        <f t="shared" si="169"/>
        <v>3060</v>
      </c>
    </row>
    <row r="460" spans="2:12" ht="15.75" thickBot="1" x14ac:dyDescent="0.3">
      <c r="B460" s="43">
        <f t="shared" si="159"/>
        <v>452</v>
      </c>
      <c r="C460" s="35"/>
      <c r="D460" s="35"/>
      <c r="E460" s="35">
        <v>292012</v>
      </c>
      <c r="F460" s="35"/>
      <c r="G460" s="9" t="s">
        <v>53</v>
      </c>
      <c r="H460" s="10">
        <v>500</v>
      </c>
      <c r="I460" s="10">
        <v>300</v>
      </c>
      <c r="J460" s="10">
        <v>300</v>
      </c>
      <c r="K460" s="10">
        <v>136.25</v>
      </c>
      <c r="L460" s="10">
        <v>3060</v>
      </c>
    </row>
    <row r="461" spans="2:12" ht="15.75" thickBot="1" x14ac:dyDescent="0.3">
      <c r="B461" s="43">
        <f t="shared" si="159"/>
        <v>453</v>
      </c>
      <c r="C461" s="32">
        <v>12</v>
      </c>
      <c r="D461" s="32"/>
      <c r="E461" s="32"/>
      <c r="F461" s="32"/>
      <c r="G461" s="3" t="s">
        <v>190</v>
      </c>
      <c r="H461" s="4">
        <f>H462+H465+H469+H472</f>
        <v>22000</v>
      </c>
      <c r="I461" s="4">
        <f>I472+I469+I465+I462</f>
        <v>11710</v>
      </c>
      <c r="J461" s="4">
        <f>J472+J469+J465+J462</f>
        <v>19910</v>
      </c>
      <c r="K461" s="4">
        <f>K472+K469+K465+K462</f>
        <v>15614.85</v>
      </c>
      <c r="L461" s="4">
        <f>L472+L469+L465+L462</f>
        <v>12871</v>
      </c>
    </row>
    <row r="462" spans="2:12" x14ac:dyDescent="0.25">
      <c r="B462" s="43">
        <f t="shared" si="159"/>
        <v>454</v>
      </c>
      <c r="C462" s="33">
        <v>210</v>
      </c>
      <c r="D462" s="33"/>
      <c r="E462" s="33"/>
      <c r="F462" s="33"/>
      <c r="G462" s="5" t="s">
        <v>28</v>
      </c>
      <c r="H462" s="6">
        <f>H463</f>
        <v>3000</v>
      </c>
      <c r="I462" s="6">
        <f t="shared" ref="I462:L463" si="170">I463</f>
        <v>3000</v>
      </c>
      <c r="J462" s="6">
        <f t="shared" si="170"/>
        <v>3000</v>
      </c>
      <c r="K462" s="6">
        <f t="shared" si="170"/>
        <v>4210</v>
      </c>
      <c r="L462" s="6">
        <f t="shared" si="170"/>
        <v>2702</v>
      </c>
    </row>
    <row r="463" spans="2:12" x14ac:dyDescent="0.25">
      <c r="B463" s="43">
        <f t="shared" si="159"/>
        <v>455</v>
      </c>
      <c r="C463" s="34"/>
      <c r="D463" s="34">
        <v>212</v>
      </c>
      <c r="E463" s="34"/>
      <c r="F463" s="34"/>
      <c r="G463" s="7" t="s">
        <v>31</v>
      </c>
      <c r="H463" s="8">
        <f>H464</f>
        <v>3000</v>
      </c>
      <c r="I463" s="8">
        <f t="shared" si="170"/>
        <v>3000</v>
      </c>
      <c r="J463" s="8">
        <f t="shared" si="170"/>
        <v>3000</v>
      </c>
      <c r="K463" s="8">
        <f t="shared" si="170"/>
        <v>4210</v>
      </c>
      <c r="L463" s="8">
        <f t="shared" si="170"/>
        <v>2702</v>
      </c>
    </row>
    <row r="464" spans="2:12" x14ac:dyDescent="0.25">
      <c r="B464" s="43">
        <f t="shared" si="159"/>
        <v>456</v>
      </c>
      <c r="C464" s="35"/>
      <c r="D464" s="35"/>
      <c r="E464" s="35">
        <v>212003</v>
      </c>
      <c r="F464" s="35"/>
      <c r="G464" s="9" t="s">
        <v>33</v>
      </c>
      <c r="H464" s="10">
        <v>3000</v>
      </c>
      <c r="I464" s="10">
        <v>3000</v>
      </c>
      <c r="J464" s="10">
        <v>3000</v>
      </c>
      <c r="K464" s="10">
        <v>4210</v>
      </c>
      <c r="L464" s="10">
        <v>2702</v>
      </c>
    </row>
    <row r="465" spans="2:12" x14ac:dyDescent="0.25">
      <c r="B465" s="43">
        <f t="shared" si="159"/>
        <v>457</v>
      </c>
      <c r="C465" s="33">
        <v>220</v>
      </c>
      <c r="D465" s="33"/>
      <c r="E465" s="33"/>
      <c r="F465" s="33"/>
      <c r="G465" s="5" t="s">
        <v>35</v>
      </c>
      <c r="H465" s="6">
        <f>H466</f>
        <v>18500</v>
      </c>
      <c r="I465" s="6">
        <f t="shared" ref="I465:L465" si="171">I466</f>
        <v>8205</v>
      </c>
      <c r="J465" s="6">
        <f t="shared" si="171"/>
        <v>16405</v>
      </c>
      <c r="K465" s="6">
        <f t="shared" si="171"/>
        <v>10460.26</v>
      </c>
      <c r="L465" s="6">
        <f t="shared" si="171"/>
        <v>10168</v>
      </c>
    </row>
    <row r="466" spans="2:12" x14ac:dyDescent="0.25">
      <c r="B466" s="43">
        <f t="shared" si="159"/>
        <v>458</v>
      </c>
      <c r="C466" s="34"/>
      <c r="D466" s="34">
        <v>223</v>
      </c>
      <c r="E466" s="34"/>
      <c r="F466" s="34"/>
      <c r="G466" s="7" t="s">
        <v>41</v>
      </c>
      <c r="H466" s="8">
        <f>H467+H468</f>
        <v>18500</v>
      </c>
      <c r="I466" s="8">
        <f t="shared" ref="I466:L466" si="172">I467+I468</f>
        <v>8205</v>
      </c>
      <c r="J466" s="8">
        <f t="shared" si="172"/>
        <v>16405</v>
      </c>
      <c r="K466" s="8">
        <f t="shared" si="172"/>
        <v>10460.26</v>
      </c>
      <c r="L466" s="8">
        <f t="shared" si="172"/>
        <v>10168</v>
      </c>
    </row>
    <row r="467" spans="2:12" x14ac:dyDescent="0.25">
      <c r="B467" s="43">
        <f t="shared" si="159"/>
        <v>459</v>
      </c>
      <c r="C467" s="35"/>
      <c r="D467" s="35"/>
      <c r="E467" s="35">
        <v>223001</v>
      </c>
      <c r="F467" s="35"/>
      <c r="G467" s="9" t="s">
        <v>42</v>
      </c>
      <c r="H467" s="10">
        <v>8500</v>
      </c>
      <c r="I467" s="10">
        <v>0</v>
      </c>
      <c r="J467" s="10">
        <v>8200</v>
      </c>
      <c r="K467" s="10">
        <v>0</v>
      </c>
      <c r="L467" s="10">
        <v>0</v>
      </c>
    </row>
    <row r="468" spans="2:12" x14ac:dyDescent="0.25">
      <c r="B468" s="43">
        <f t="shared" si="159"/>
        <v>460</v>
      </c>
      <c r="C468" s="35"/>
      <c r="D468" s="35"/>
      <c r="E468" s="35">
        <v>223002</v>
      </c>
      <c r="F468" s="35"/>
      <c r="G468" s="9" t="s">
        <v>58</v>
      </c>
      <c r="H468" s="10">
        <v>10000</v>
      </c>
      <c r="I468" s="10">
        <v>8205</v>
      </c>
      <c r="J468" s="10">
        <v>8205</v>
      </c>
      <c r="K468" s="10">
        <v>10460.26</v>
      </c>
      <c r="L468" s="10">
        <v>10168</v>
      </c>
    </row>
    <row r="469" spans="2:12" x14ac:dyDescent="0.25">
      <c r="B469" s="43">
        <f t="shared" si="159"/>
        <v>461</v>
      </c>
      <c r="C469" s="33">
        <v>240</v>
      </c>
      <c r="D469" s="33"/>
      <c r="E469" s="33"/>
      <c r="F469" s="33"/>
      <c r="G469" s="5" t="s">
        <v>46</v>
      </c>
      <c r="H469" s="6">
        <f>H470</f>
        <v>0</v>
      </c>
      <c r="I469" s="6">
        <f t="shared" ref="I469:L470" si="173">I470</f>
        <v>5</v>
      </c>
      <c r="J469" s="6">
        <f t="shared" si="173"/>
        <v>5</v>
      </c>
      <c r="K469" s="6">
        <f t="shared" si="173"/>
        <v>2.2400000000000002</v>
      </c>
      <c r="L469" s="6">
        <f t="shared" si="173"/>
        <v>1</v>
      </c>
    </row>
    <row r="470" spans="2:12" x14ac:dyDescent="0.25">
      <c r="B470" s="43">
        <f t="shared" si="159"/>
        <v>462</v>
      </c>
      <c r="C470" s="34"/>
      <c r="D470" s="34">
        <v>242</v>
      </c>
      <c r="E470" s="34"/>
      <c r="F470" s="34"/>
      <c r="G470" s="7" t="s">
        <v>47</v>
      </c>
      <c r="H470" s="8">
        <f>H471</f>
        <v>0</v>
      </c>
      <c r="I470" s="8">
        <f t="shared" si="173"/>
        <v>5</v>
      </c>
      <c r="J470" s="8">
        <f t="shared" si="173"/>
        <v>5</v>
      </c>
      <c r="K470" s="8">
        <f t="shared" si="173"/>
        <v>2.2400000000000002</v>
      </c>
      <c r="L470" s="8">
        <f t="shared" si="173"/>
        <v>1</v>
      </c>
    </row>
    <row r="471" spans="2:12" x14ac:dyDescent="0.25">
      <c r="B471" s="43">
        <f t="shared" si="159"/>
        <v>463</v>
      </c>
      <c r="C471" s="35"/>
      <c r="D471" s="35"/>
      <c r="E471" s="35">
        <v>242</v>
      </c>
      <c r="F471" s="35"/>
      <c r="G471" s="9" t="s">
        <v>47</v>
      </c>
      <c r="H471" s="10">
        <v>0</v>
      </c>
      <c r="I471" s="10">
        <v>5</v>
      </c>
      <c r="J471" s="10">
        <v>5</v>
      </c>
      <c r="K471" s="10">
        <v>2.2400000000000002</v>
      </c>
      <c r="L471" s="10">
        <v>1</v>
      </c>
    </row>
    <row r="472" spans="2:12" x14ac:dyDescent="0.25">
      <c r="B472" s="43">
        <f t="shared" si="159"/>
        <v>464</v>
      </c>
      <c r="C472" s="33">
        <v>290</v>
      </c>
      <c r="D472" s="33"/>
      <c r="E472" s="33"/>
      <c r="F472" s="33"/>
      <c r="G472" s="5" t="s">
        <v>49</v>
      </c>
      <c r="H472" s="6">
        <f>H473</f>
        <v>500</v>
      </c>
      <c r="I472" s="6">
        <f t="shared" ref="I472:L472" si="174">I473</f>
        <v>500</v>
      </c>
      <c r="J472" s="6">
        <f t="shared" si="174"/>
        <v>500</v>
      </c>
      <c r="K472" s="6">
        <f t="shared" si="174"/>
        <v>942.35</v>
      </c>
      <c r="L472" s="6">
        <f t="shared" si="174"/>
        <v>0</v>
      </c>
    </row>
    <row r="473" spans="2:12" x14ac:dyDescent="0.25">
      <c r="B473" s="43">
        <f t="shared" si="159"/>
        <v>465</v>
      </c>
      <c r="C473" s="34"/>
      <c r="D473" s="34">
        <v>292</v>
      </c>
      <c r="E473" s="34"/>
      <c r="F473" s="34"/>
      <c r="G473" s="7" t="s">
        <v>50</v>
      </c>
      <c r="H473" s="8">
        <f>H474+H475</f>
        <v>500</v>
      </c>
      <c r="I473" s="8">
        <f t="shared" ref="I473:L473" si="175">I475+I474</f>
        <v>500</v>
      </c>
      <c r="J473" s="8">
        <f t="shared" si="175"/>
        <v>500</v>
      </c>
      <c r="K473" s="8">
        <f t="shared" si="175"/>
        <v>942.35</v>
      </c>
      <c r="L473" s="8">
        <f t="shared" si="175"/>
        <v>0</v>
      </c>
    </row>
    <row r="474" spans="2:12" x14ac:dyDescent="0.25">
      <c r="B474" s="43">
        <f t="shared" si="159"/>
        <v>466</v>
      </c>
      <c r="C474" s="35"/>
      <c r="D474" s="35"/>
      <c r="E474" s="35">
        <v>292012</v>
      </c>
      <c r="F474" s="35"/>
      <c r="G474" s="9" t="s">
        <v>53</v>
      </c>
      <c r="H474" s="10">
        <v>500</v>
      </c>
      <c r="I474" s="10">
        <v>500</v>
      </c>
      <c r="J474" s="10">
        <v>500</v>
      </c>
      <c r="K474" s="10">
        <v>942.35</v>
      </c>
      <c r="L474" s="10">
        <v>0</v>
      </c>
    </row>
    <row r="475" spans="2:12" ht="15.75" thickBot="1" x14ac:dyDescent="0.3">
      <c r="B475" s="43">
        <f t="shared" si="159"/>
        <v>467</v>
      </c>
      <c r="C475" s="35"/>
      <c r="D475" s="35"/>
      <c r="E475" s="35">
        <v>292027</v>
      </c>
      <c r="F475" s="35"/>
      <c r="G475" s="9" t="s">
        <v>56</v>
      </c>
      <c r="H475" s="10">
        <v>0</v>
      </c>
      <c r="I475" s="10">
        <v>0</v>
      </c>
      <c r="J475" s="10"/>
      <c r="K475" s="10"/>
      <c r="L475" s="10">
        <v>0</v>
      </c>
    </row>
    <row r="476" spans="2:12" ht="15.75" thickBot="1" x14ac:dyDescent="0.3">
      <c r="B476" s="43">
        <f t="shared" si="159"/>
        <v>468</v>
      </c>
      <c r="C476" s="32">
        <v>13</v>
      </c>
      <c r="D476" s="32"/>
      <c r="E476" s="32"/>
      <c r="F476" s="32"/>
      <c r="G476" s="3" t="s">
        <v>191</v>
      </c>
      <c r="H476" s="4">
        <f>H477+H480+H485+H488</f>
        <v>19000</v>
      </c>
      <c r="I476" s="4">
        <f t="shared" ref="I476:L476" si="176">I488+I485+I480+I477</f>
        <v>10710</v>
      </c>
      <c r="J476" s="4">
        <f t="shared" si="176"/>
        <v>19010</v>
      </c>
      <c r="K476" s="4">
        <f t="shared" si="176"/>
        <v>11012.869999999999</v>
      </c>
      <c r="L476" s="4">
        <f t="shared" si="176"/>
        <v>11462</v>
      </c>
    </row>
    <row r="477" spans="2:12" x14ac:dyDescent="0.25">
      <c r="B477" s="43">
        <f t="shared" si="159"/>
        <v>469</v>
      </c>
      <c r="C477" s="33">
        <v>210</v>
      </c>
      <c r="D477" s="33"/>
      <c r="E477" s="33"/>
      <c r="F477" s="33"/>
      <c r="G477" s="5" t="s">
        <v>28</v>
      </c>
      <c r="H477" s="6">
        <f>H478</f>
        <v>6000</v>
      </c>
      <c r="I477" s="6">
        <f t="shared" ref="I477:L478" si="177">I478</f>
        <v>6000</v>
      </c>
      <c r="J477" s="6">
        <f t="shared" si="177"/>
        <v>6000</v>
      </c>
      <c r="K477" s="6">
        <f t="shared" si="177"/>
        <v>6129.13</v>
      </c>
      <c r="L477" s="6">
        <f t="shared" si="177"/>
        <v>6772</v>
      </c>
    </row>
    <row r="478" spans="2:12" x14ac:dyDescent="0.25">
      <c r="B478" s="43">
        <f t="shared" si="159"/>
        <v>470</v>
      </c>
      <c r="C478" s="34"/>
      <c r="D478" s="34">
        <v>212</v>
      </c>
      <c r="E478" s="34"/>
      <c r="F478" s="34"/>
      <c r="G478" s="7" t="s">
        <v>31</v>
      </c>
      <c r="H478" s="8">
        <f>H479</f>
        <v>6000</v>
      </c>
      <c r="I478" s="8">
        <f t="shared" si="177"/>
        <v>6000</v>
      </c>
      <c r="J478" s="8">
        <f t="shared" si="177"/>
        <v>6000</v>
      </c>
      <c r="K478" s="8">
        <f t="shared" si="177"/>
        <v>6129.13</v>
      </c>
      <c r="L478" s="8">
        <f t="shared" si="177"/>
        <v>6772</v>
      </c>
    </row>
    <row r="479" spans="2:12" x14ac:dyDescent="0.25">
      <c r="B479" s="43">
        <f t="shared" si="159"/>
        <v>471</v>
      </c>
      <c r="C479" s="35"/>
      <c r="D479" s="35"/>
      <c r="E479" s="35">
        <v>212003</v>
      </c>
      <c r="F479" s="35"/>
      <c r="G479" s="9" t="s">
        <v>33</v>
      </c>
      <c r="H479" s="10">
        <v>6000</v>
      </c>
      <c r="I479" s="10">
        <v>6000</v>
      </c>
      <c r="J479" s="10">
        <v>6000</v>
      </c>
      <c r="K479" s="10">
        <v>6129.13</v>
      </c>
      <c r="L479" s="10">
        <v>6772</v>
      </c>
    </row>
    <row r="480" spans="2:12" x14ac:dyDescent="0.25">
      <c r="B480" s="43">
        <f t="shared" si="159"/>
        <v>472</v>
      </c>
      <c r="C480" s="33">
        <v>220</v>
      </c>
      <c r="D480" s="33"/>
      <c r="E480" s="33"/>
      <c r="F480" s="33"/>
      <c r="G480" s="5" t="s">
        <v>35</v>
      </c>
      <c r="H480" s="6">
        <f>H481</f>
        <v>12700</v>
      </c>
      <c r="I480" s="6">
        <f t="shared" ref="I480:L480" si="178">I481</f>
        <v>4405</v>
      </c>
      <c r="J480" s="6">
        <f t="shared" si="178"/>
        <v>12705</v>
      </c>
      <c r="K480" s="6">
        <f t="shared" si="178"/>
        <v>4502.26</v>
      </c>
      <c r="L480" s="6">
        <f t="shared" si="178"/>
        <v>4688</v>
      </c>
    </row>
    <row r="481" spans="2:12" x14ac:dyDescent="0.25">
      <c r="B481" s="43">
        <f t="shared" si="159"/>
        <v>473</v>
      </c>
      <c r="C481" s="34"/>
      <c r="D481" s="34">
        <v>223</v>
      </c>
      <c r="E481" s="34"/>
      <c r="F481" s="34"/>
      <c r="G481" s="7" t="s">
        <v>41</v>
      </c>
      <c r="H481" s="8">
        <f>H482+H483</f>
        <v>12700</v>
      </c>
      <c r="I481" s="8">
        <f t="shared" ref="I481:L481" si="179">I484+I483+I482</f>
        <v>4405</v>
      </c>
      <c r="J481" s="8">
        <f t="shared" si="179"/>
        <v>12705</v>
      </c>
      <c r="K481" s="8">
        <f t="shared" si="179"/>
        <v>4502.26</v>
      </c>
      <c r="L481" s="8">
        <f t="shared" si="179"/>
        <v>4688</v>
      </c>
    </row>
    <row r="482" spans="2:12" x14ac:dyDescent="0.25">
      <c r="B482" s="43">
        <f t="shared" si="159"/>
        <v>474</v>
      </c>
      <c r="C482" s="35"/>
      <c r="D482" s="35"/>
      <c r="E482" s="35">
        <v>223001</v>
      </c>
      <c r="F482" s="35"/>
      <c r="G482" s="9" t="s">
        <v>42</v>
      </c>
      <c r="H482" s="10">
        <v>8300</v>
      </c>
      <c r="I482" s="10"/>
      <c r="J482" s="10">
        <v>8300</v>
      </c>
      <c r="K482" s="10">
        <v>0</v>
      </c>
      <c r="L482" s="10">
        <v>0</v>
      </c>
    </row>
    <row r="483" spans="2:12" x14ac:dyDescent="0.25">
      <c r="B483" s="43">
        <f t="shared" si="159"/>
        <v>475</v>
      </c>
      <c r="C483" s="35"/>
      <c r="D483" s="35"/>
      <c r="E483" s="35">
        <v>223002</v>
      </c>
      <c r="F483" s="35"/>
      <c r="G483" s="9" t="s">
        <v>58</v>
      </c>
      <c r="H483" s="10">
        <v>4400</v>
      </c>
      <c r="I483" s="10">
        <v>4405</v>
      </c>
      <c r="J483" s="10">
        <v>4405</v>
      </c>
      <c r="K483" s="10">
        <v>4502.26</v>
      </c>
      <c r="L483" s="10">
        <v>4688</v>
      </c>
    </row>
    <row r="484" spans="2:12" x14ac:dyDescent="0.25">
      <c r="B484" s="43">
        <f t="shared" si="159"/>
        <v>476</v>
      </c>
      <c r="C484" s="35"/>
      <c r="D484" s="35"/>
      <c r="E484" s="35">
        <v>223003</v>
      </c>
      <c r="F484" s="35"/>
      <c r="G484" s="9" t="s">
        <v>101</v>
      </c>
      <c r="H484" s="10">
        <v>0</v>
      </c>
      <c r="I484" s="10">
        <v>0</v>
      </c>
      <c r="J484" s="10"/>
      <c r="K484" s="10">
        <v>0</v>
      </c>
      <c r="L484" s="10">
        <v>0</v>
      </c>
    </row>
    <row r="485" spans="2:12" x14ac:dyDescent="0.25">
      <c r="B485" s="43">
        <f t="shared" si="159"/>
        <v>477</v>
      </c>
      <c r="C485" s="33">
        <v>240</v>
      </c>
      <c r="D485" s="33"/>
      <c r="E485" s="33"/>
      <c r="F485" s="33"/>
      <c r="G485" s="5" t="s">
        <v>46</v>
      </c>
      <c r="H485" s="6">
        <f>H486</f>
        <v>0</v>
      </c>
      <c r="I485" s="6">
        <f t="shared" ref="I485:L486" si="180">I486</f>
        <v>5</v>
      </c>
      <c r="J485" s="6">
        <f t="shared" si="180"/>
        <v>5</v>
      </c>
      <c r="K485" s="6">
        <f t="shared" si="180"/>
        <v>2.2599999999999998</v>
      </c>
      <c r="L485" s="6">
        <f t="shared" si="180"/>
        <v>2</v>
      </c>
    </row>
    <row r="486" spans="2:12" x14ac:dyDescent="0.25">
      <c r="B486" s="43">
        <f t="shared" si="159"/>
        <v>478</v>
      </c>
      <c r="C486" s="34"/>
      <c r="D486" s="34">
        <v>242</v>
      </c>
      <c r="E486" s="34"/>
      <c r="F486" s="34"/>
      <c r="G486" s="7" t="s">
        <v>47</v>
      </c>
      <c r="H486" s="8">
        <f>H487</f>
        <v>0</v>
      </c>
      <c r="I486" s="8">
        <f t="shared" si="180"/>
        <v>5</v>
      </c>
      <c r="J486" s="8">
        <f t="shared" si="180"/>
        <v>5</v>
      </c>
      <c r="K486" s="8">
        <f t="shared" si="180"/>
        <v>2.2599999999999998</v>
      </c>
      <c r="L486" s="8">
        <f t="shared" si="180"/>
        <v>2</v>
      </c>
    </row>
    <row r="487" spans="2:12" x14ac:dyDescent="0.25">
      <c r="B487" s="43">
        <f t="shared" si="159"/>
        <v>479</v>
      </c>
      <c r="C487" s="35"/>
      <c r="D487" s="35"/>
      <c r="E487" s="35">
        <v>242</v>
      </c>
      <c r="F487" s="35"/>
      <c r="G487" s="9" t="s">
        <v>47</v>
      </c>
      <c r="H487" s="10">
        <v>0</v>
      </c>
      <c r="I487" s="10">
        <v>5</v>
      </c>
      <c r="J487" s="10">
        <v>5</v>
      </c>
      <c r="K487" s="10">
        <v>2.2599999999999998</v>
      </c>
      <c r="L487" s="10">
        <v>2</v>
      </c>
    </row>
    <row r="488" spans="2:12" x14ac:dyDescent="0.25">
      <c r="B488" s="43">
        <f t="shared" si="159"/>
        <v>480</v>
      </c>
      <c r="C488" s="33">
        <v>290</v>
      </c>
      <c r="D488" s="33"/>
      <c r="E488" s="33"/>
      <c r="F488" s="33"/>
      <c r="G488" s="5" t="s">
        <v>49</v>
      </c>
      <c r="H488" s="6">
        <f>H489</f>
        <v>300</v>
      </c>
      <c r="I488" s="6">
        <f t="shared" ref="I488:L488" si="181">I489</f>
        <v>300</v>
      </c>
      <c r="J488" s="6">
        <f t="shared" si="181"/>
        <v>300</v>
      </c>
      <c r="K488" s="6">
        <f t="shared" si="181"/>
        <v>379.22</v>
      </c>
      <c r="L488" s="6">
        <f t="shared" si="181"/>
        <v>0</v>
      </c>
    </row>
    <row r="489" spans="2:12" x14ac:dyDescent="0.25">
      <c r="B489" s="43">
        <f t="shared" si="159"/>
        <v>481</v>
      </c>
      <c r="C489" s="34"/>
      <c r="D489" s="34">
        <v>292</v>
      </c>
      <c r="E489" s="34"/>
      <c r="F489" s="34"/>
      <c r="G489" s="7" t="s">
        <v>50</v>
      </c>
      <c r="H489" s="8">
        <f>H490+H491</f>
        <v>300</v>
      </c>
      <c r="I489" s="8">
        <f t="shared" ref="I489:L489" si="182">I491+I490</f>
        <v>300</v>
      </c>
      <c r="J489" s="8">
        <f t="shared" si="182"/>
        <v>300</v>
      </c>
      <c r="K489" s="8">
        <f t="shared" si="182"/>
        <v>379.22</v>
      </c>
      <c r="L489" s="8">
        <f t="shared" si="182"/>
        <v>0</v>
      </c>
    </row>
    <row r="490" spans="2:12" x14ac:dyDescent="0.25">
      <c r="B490" s="43">
        <f t="shared" si="159"/>
        <v>482</v>
      </c>
      <c r="C490" s="35"/>
      <c r="D490" s="35"/>
      <c r="E490" s="35">
        <v>292012</v>
      </c>
      <c r="F490" s="35"/>
      <c r="G490" s="9" t="s">
        <v>53</v>
      </c>
      <c r="H490" s="10">
        <v>300</v>
      </c>
      <c r="I490" s="10">
        <v>300</v>
      </c>
      <c r="J490" s="10">
        <v>300</v>
      </c>
      <c r="K490" s="10">
        <v>379.22</v>
      </c>
      <c r="L490" s="10">
        <v>0</v>
      </c>
    </row>
    <row r="491" spans="2:12" ht="15.75" thickBot="1" x14ac:dyDescent="0.3">
      <c r="B491" s="43">
        <f t="shared" si="159"/>
        <v>483</v>
      </c>
      <c r="C491" s="35"/>
      <c r="D491" s="35"/>
      <c r="E491" s="35">
        <v>292027</v>
      </c>
      <c r="F491" s="35"/>
      <c r="G491" s="9" t="s">
        <v>56</v>
      </c>
      <c r="H491" s="10">
        <v>0</v>
      </c>
      <c r="I491" s="10">
        <v>0</v>
      </c>
      <c r="J491" s="10"/>
      <c r="K491" s="10">
        <v>0</v>
      </c>
      <c r="L491" s="10">
        <v>0</v>
      </c>
    </row>
    <row r="492" spans="2:12" ht="15.75" thickBot="1" x14ac:dyDescent="0.3">
      <c r="B492" s="43">
        <f t="shared" si="159"/>
        <v>484</v>
      </c>
      <c r="C492" s="32">
        <v>14</v>
      </c>
      <c r="D492" s="32"/>
      <c r="E492" s="32"/>
      <c r="F492" s="32"/>
      <c r="G492" s="3" t="s">
        <v>192</v>
      </c>
      <c r="H492" s="4">
        <f>H493+H496+H499+H502</f>
        <v>91100</v>
      </c>
      <c r="I492" s="4">
        <f t="shared" ref="I492:L492" si="183">I502+I499+I496+I493</f>
        <v>91010</v>
      </c>
      <c r="J492" s="4">
        <f t="shared" si="183"/>
        <v>91010</v>
      </c>
      <c r="K492" s="4">
        <f t="shared" si="183"/>
        <v>101518.2</v>
      </c>
      <c r="L492" s="4">
        <f t="shared" si="183"/>
        <v>99963</v>
      </c>
    </row>
    <row r="493" spans="2:12" x14ac:dyDescent="0.25">
      <c r="B493" s="43">
        <f t="shared" si="159"/>
        <v>485</v>
      </c>
      <c r="C493" s="33">
        <v>210</v>
      </c>
      <c r="D493" s="33"/>
      <c r="E493" s="33"/>
      <c r="F493" s="33"/>
      <c r="G493" s="5" t="s">
        <v>28</v>
      </c>
      <c r="H493" s="6">
        <f>H494</f>
        <v>100</v>
      </c>
      <c r="I493" s="6">
        <f t="shared" ref="I493:L494" si="184">I494</f>
        <v>0</v>
      </c>
      <c r="J493" s="6">
        <f t="shared" si="184"/>
        <v>0</v>
      </c>
      <c r="K493" s="6">
        <f t="shared" si="184"/>
        <v>0</v>
      </c>
      <c r="L493" s="6">
        <f t="shared" si="184"/>
        <v>0</v>
      </c>
    </row>
    <row r="494" spans="2:12" x14ac:dyDescent="0.25">
      <c r="B494" s="43">
        <f t="shared" si="159"/>
        <v>486</v>
      </c>
      <c r="C494" s="34"/>
      <c r="D494" s="34">
        <v>212</v>
      </c>
      <c r="E494" s="34"/>
      <c r="F494" s="34"/>
      <c r="G494" s="7" t="s">
        <v>31</v>
      </c>
      <c r="H494" s="8">
        <f>H495</f>
        <v>100</v>
      </c>
      <c r="I494" s="8">
        <f t="shared" si="184"/>
        <v>0</v>
      </c>
      <c r="J494" s="8">
        <f t="shared" si="184"/>
        <v>0</v>
      </c>
      <c r="K494" s="8">
        <f t="shared" si="184"/>
        <v>0</v>
      </c>
      <c r="L494" s="8">
        <f t="shared" si="184"/>
        <v>0</v>
      </c>
    </row>
    <row r="495" spans="2:12" x14ac:dyDescent="0.25">
      <c r="B495" s="43">
        <f t="shared" si="159"/>
        <v>487</v>
      </c>
      <c r="C495" s="35"/>
      <c r="D495" s="35"/>
      <c r="E495" s="35">
        <v>212003</v>
      </c>
      <c r="F495" s="35"/>
      <c r="G495" s="9" t="s">
        <v>33</v>
      </c>
      <c r="H495" s="10">
        <v>100</v>
      </c>
      <c r="I495" s="10">
        <v>0</v>
      </c>
      <c r="J495" s="10"/>
      <c r="K495" s="10"/>
      <c r="L495" s="10">
        <v>0</v>
      </c>
    </row>
    <row r="496" spans="2:12" x14ac:dyDescent="0.25">
      <c r="B496" s="43">
        <f t="shared" ref="B496:B511" si="185">B495+1</f>
        <v>488</v>
      </c>
      <c r="C496" s="33">
        <v>220</v>
      </c>
      <c r="D496" s="33"/>
      <c r="E496" s="33"/>
      <c r="F496" s="33"/>
      <c r="G496" s="5" t="s">
        <v>35</v>
      </c>
      <c r="H496" s="6">
        <f>H497</f>
        <v>91000</v>
      </c>
      <c r="I496" s="6">
        <f t="shared" ref="I496:L497" si="186">I497</f>
        <v>91005</v>
      </c>
      <c r="J496" s="6">
        <f t="shared" si="186"/>
        <v>91005</v>
      </c>
      <c r="K496" s="6">
        <f t="shared" si="186"/>
        <v>101515</v>
      </c>
      <c r="L496" s="6">
        <f t="shared" si="186"/>
        <v>87382</v>
      </c>
    </row>
    <row r="497" spans="2:12" x14ac:dyDescent="0.25">
      <c r="B497" s="43">
        <f t="shared" si="185"/>
        <v>489</v>
      </c>
      <c r="C497" s="34"/>
      <c r="D497" s="34">
        <v>223</v>
      </c>
      <c r="E497" s="34"/>
      <c r="F497" s="34"/>
      <c r="G497" s="7" t="s">
        <v>41</v>
      </c>
      <c r="H497" s="8">
        <f>H498</f>
        <v>91000</v>
      </c>
      <c r="I497" s="8">
        <f t="shared" si="186"/>
        <v>91005</v>
      </c>
      <c r="J497" s="8">
        <f t="shared" si="186"/>
        <v>91005</v>
      </c>
      <c r="K497" s="8">
        <f t="shared" si="186"/>
        <v>101515</v>
      </c>
      <c r="L497" s="8">
        <f t="shared" si="186"/>
        <v>87382</v>
      </c>
    </row>
    <row r="498" spans="2:12" x14ac:dyDescent="0.25">
      <c r="B498" s="43">
        <f t="shared" si="185"/>
        <v>490</v>
      </c>
      <c r="C498" s="35"/>
      <c r="D498" s="35"/>
      <c r="E498" s="35">
        <v>223001</v>
      </c>
      <c r="F498" s="35"/>
      <c r="G498" s="9" t="s">
        <v>42</v>
      </c>
      <c r="H498" s="10">
        <v>91000</v>
      </c>
      <c r="I498" s="10">
        <v>91005</v>
      </c>
      <c r="J498" s="10">
        <v>91005</v>
      </c>
      <c r="K498" s="10">
        <v>101515</v>
      </c>
      <c r="L498" s="10">
        <v>87382</v>
      </c>
    </row>
    <row r="499" spans="2:12" x14ac:dyDescent="0.25">
      <c r="B499" s="43">
        <f t="shared" si="185"/>
        <v>491</v>
      </c>
      <c r="C499" s="33">
        <v>240</v>
      </c>
      <c r="D499" s="33"/>
      <c r="E499" s="33"/>
      <c r="F499" s="33"/>
      <c r="G499" s="5" t="s">
        <v>46</v>
      </c>
      <c r="H499" s="6">
        <f>H500</f>
        <v>0</v>
      </c>
      <c r="I499" s="6">
        <f t="shared" ref="I499:L500" si="187">I500</f>
        <v>5</v>
      </c>
      <c r="J499" s="6">
        <f t="shared" si="187"/>
        <v>5</v>
      </c>
      <c r="K499" s="6">
        <f t="shared" si="187"/>
        <v>3.2</v>
      </c>
      <c r="L499" s="6">
        <f t="shared" si="187"/>
        <v>2</v>
      </c>
    </row>
    <row r="500" spans="2:12" x14ac:dyDescent="0.25">
      <c r="B500" s="43">
        <f t="shared" si="185"/>
        <v>492</v>
      </c>
      <c r="C500" s="34"/>
      <c r="D500" s="34">
        <v>242</v>
      </c>
      <c r="E500" s="34"/>
      <c r="F500" s="34"/>
      <c r="G500" s="7" t="s">
        <v>47</v>
      </c>
      <c r="H500" s="8">
        <f>H501</f>
        <v>0</v>
      </c>
      <c r="I500" s="8">
        <f t="shared" si="187"/>
        <v>5</v>
      </c>
      <c r="J500" s="8">
        <f t="shared" si="187"/>
        <v>5</v>
      </c>
      <c r="K500" s="8">
        <f t="shared" si="187"/>
        <v>3.2</v>
      </c>
      <c r="L500" s="8">
        <f t="shared" si="187"/>
        <v>2</v>
      </c>
    </row>
    <row r="501" spans="2:12" x14ac:dyDescent="0.25">
      <c r="B501" s="43">
        <f t="shared" si="185"/>
        <v>493</v>
      </c>
      <c r="C501" s="35"/>
      <c r="D501" s="35"/>
      <c r="E501" s="35">
        <v>242</v>
      </c>
      <c r="F501" s="35"/>
      <c r="G501" s="9" t="s">
        <v>47</v>
      </c>
      <c r="H501" s="10">
        <v>0</v>
      </c>
      <c r="I501" s="10">
        <v>5</v>
      </c>
      <c r="J501" s="10">
        <v>5</v>
      </c>
      <c r="K501" s="10">
        <v>3.2</v>
      </c>
      <c r="L501" s="10">
        <v>2</v>
      </c>
    </row>
    <row r="502" spans="2:12" x14ac:dyDescent="0.25">
      <c r="B502" s="43">
        <f t="shared" si="185"/>
        <v>494</v>
      </c>
      <c r="C502" s="33">
        <v>290</v>
      </c>
      <c r="D502" s="33"/>
      <c r="E502" s="33"/>
      <c r="F502" s="33"/>
      <c r="G502" s="5" t="s">
        <v>49</v>
      </c>
      <c r="H502" s="6">
        <f>H503</f>
        <v>0</v>
      </c>
      <c r="I502" s="6">
        <f t="shared" ref="I502:L503" si="188">I503</f>
        <v>0</v>
      </c>
      <c r="J502" s="6">
        <f t="shared" si="188"/>
        <v>0</v>
      </c>
      <c r="K502" s="6">
        <f t="shared" si="188"/>
        <v>0</v>
      </c>
      <c r="L502" s="6">
        <f t="shared" si="188"/>
        <v>12579</v>
      </c>
    </row>
    <row r="503" spans="2:12" x14ac:dyDescent="0.25">
      <c r="B503" s="43">
        <f t="shared" si="185"/>
        <v>495</v>
      </c>
      <c r="C503" s="34"/>
      <c r="D503" s="34">
        <v>292</v>
      </c>
      <c r="E503" s="34"/>
      <c r="F503" s="34"/>
      <c r="G503" s="7" t="s">
        <v>50</v>
      </c>
      <c r="H503" s="8">
        <f>SUM(H504:H504)</f>
        <v>0</v>
      </c>
      <c r="I503" s="8">
        <f>I504</f>
        <v>0</v>
      </c>
      <c r="J503" s="8">
        <f t="shared" si="188"/>
        <v>0</v>
      </c>
      <c r="K503" s="8">
        <f t="shared" si="188"/>
        <v>0</v>
      </c>
      <c r="L503" s="8">
        <f t="shared" si="188"/>
        <v>12579</v>
      </c>
    </row>
    <row r="504" spans="2:12" x14ac:dyDescent="0.25">
      <c r="B504" s="43">
        <f t="shared" si="185"/>
        <v>496</v>
      </c>
      <c r="C504" s="35"/>
      <c r="D504" s="35"/>
      <c r="E504" s="35">
        <v>292012</v>
      </c>
      <c r="F504" s="35"/>
      <c r="G504" s="9" t="s">
        <v>53</v>
      </c>
      <c r="H504" s="10">
        <v>0</v>
      </c>
      <c r="I504" s="10">
        <v>0</v>
      </c>
      <c r="J504" s="10"/>
      <c r="K504" s="10">
        <v>0</v>
      </c>
      <c r="L504" s="10">
        <v>12579</v>
      </c>
    </row>
    <row r="505" spans="2:12" ht="16.5" thickBot="1" x14ac:dyDescent="0.3">
      <c r="B505" s="43">
        <f t="shared" si="185"/>
        <v>497</v>
      </c>
      <c r="C505" s="31">
        <v>300</v>
      </c>
      <c r="D505" s="31"/>
      <c r="E505" s="31"/>
      <c r="F505" s="31"/>
      <c r="G505" s="1" t="s">
        <v>193</v>
      </c>
      <c r="H505" s="2">
        <f>H506+H550+H554+H561+H567+H575+H582+H589+H596+H601</f>
        <v>8464465</v>
      </c>
      <c r="I505" s="2">
        <f>I601+I596+I589+I567+I561+I554+I506+I575+I582</f>
        <v>7698180</v>
      </c>
      <c r="J505" s="2">
        <f>J601+J596+J589+J567+J561+J554+J506+J550+J582+J575</f>
        <v>8081777</v>
      </c>
      <c r="K505" s="2">
        <f>K506+K550+K554+K561+K567+K575+K582+K589+K596+K601</f>
        <v>7561574.9399999995</v>
      </c>
      <c r="L505" s="2">
        <f>L601+L596+L589+L567+L561+L554+L506+L550+L575+L582</f>
        <v>7450636</v>
      </c>
    </row>
    <row r="506" spans="2:12" ht="15.75" thickBot="1" x14ac:dyDescent="0.3">
      <c r="B506" s="43">
        <f t="shared" si="185"/>
        <v>498</v>
      </c>
      <c r="C506" s="32"/>
      <c r="D506" s="32"/>
      <c r="E506" s="32"/>
      <c r="F506" s="32"/>
      <c r="G506" s="3" t="s">
        <v>12</v>
      </c>
      <c r="H506" s="4">
        <f>H507</f>
        <v>8135965</v>
      </c>
      <c r="I506" s="4">
        <f t="shared" ref="I506:L506" si="189">I507</f>
        <v>7627035</v>
      </c>
      <c r="J506" s="4">
        <f t="shared" si="189"/>
        <v>7787772</v>
      </c>
      <c r="K506" s="4">
        <f t="shared" si="189"/>
        <v>7467881.5999999996</v>
      </c>
      <c r="L506" s="4">
        <f t="shared" si="189"/>
        <v>7345271</v>
      </c>
    </row>
    <row r="507" spans="2:12" x14ac:dyDescent="0.25">
      <c r="B507" s="43">
        <f t="shared" si="185"/>
        <v>499</v>
      </c>
      <c r="C507" s="33">
        <v>310</v>
      </c>
      <c r="D507" s="33"/>
      <c r="E507" s="33"/>
      <c r="F507" s="33"/>
      <c r="G507" s="5" t="s">
        <v>194</v>
      </c>
      <c r="H507" s="6">
        <f>H508+H511</f>
        <v>8135965</v>
      </c>
      <c r="I507" s="6">
        <f t="shared" ref="I507:L507" si="190">I511+I508</f>
        <v>7627035</v>
      </c>
      <c r="J507" s="6">
        <f t="shared" si="190"/>
        <v>7787772</v>
      </c>
      <c r="K507" s="6">
        <f t="shared" si="190"/>
        <v>7467881.5999999996</v>
      </c>
      <c r="L507" s="6">
        <f t="shared" si="190"/>
        <v>7345271</v>
      </c>
    </row>
    <row r="508" spans="2:12" x14ac:dyDescent="0.25">
      <c r="B508" s="43">
        <f t="shared" si="185"/>
        <v>500</v>
      </c>
      <c r="C508" s="34"/>
      <c r="D508" s="34">
        <v>311</v>
      </c>
      <c r="E508" s="34"/>
      <c r="F508" s="34"/>
      <c r="G508" s="7" t="s">
        <v>195</v>
      </c>
      <c r="H508" s="8">
        <f>H509</f>
        <v>0</v>
      </c>
      <c r="I508" s="8">
        <f t="shared" ref="I508:L508" si="191">I509</f>
        <v>0</v>
      </c>
      <c r="J508" s="8">
        <f t="shared" si="191"/>
        <v>2700</v>
      </c>
      <c r="K508" s="8">
        <f t="shared" si="191"/>
        <v>7014</v>
      </c>
      <c r="L508" s="8">
        <f t="shared" si="191"/>
        <v>96022</v>
      </c>
    </row>
    <row r="509" spans="2:12" x14ac:dyDescent="0.25">
      <c r="B509" s="43">
        <f t="shared" si="185"/>
        <v>501</v>
      </c>
      <c r="C509" s="35"/>
      <c r="D509" s="35"/>
      <c r="E509" s="35">
        <v>311</v>
      </c>
      <c r="F509" s="35"/>
      <c r="G509" s="9" t="s">
        <v>195</v>
      </c>
      <c r="H509" s="10">
        <f>H510</f>
        <v>0</v>
      </c>
      <c r="I509" s="10">
        <v>0</v>
      </c>
      <c r="J509" s="10">
        <v>2700</v>
      </c>
      <c r="K509" s="10">
        <v>7014</v>
      </c>
      <c r="L509" s="10">
        <v>96022</v>
      </c>
    </row>
    <row r="510" spans="2:12" x14ac:dyDescent="0.25">
      <c r="B510" s="43">
        <f t="shared" si="185"/>
        <v>502</v>
      </c>
      <c r="C510" s="35"/>
      <c r="D510" s="35"/>
      <c r="E510" s="35"/>
      <c r="F510" s="35"/>
      <c r="G510" s="9" t="s">
        <v>196</v>
      </c>
      <c r="H510" s="10">
        <v>0</v>
      </c>
      <c r="I510" s="10"/>
      <c r="J510" s="10"/>
      <c r="K510" s="10"/>
      <c r="L510" s="10"/>
    </row>
    <row r="511" spans="2:12" x14ac:dyDescent="0.25">
      <c r="B511" s="43">
        <f t="shared" si="185"/>
        <v>503</v>
      </c>
      <c r="C511" s="34"/>
      <c r="D511" s="34">
        <v>312</v>
      </c>
      <c r="E511" s="34"/>
      <c r="F511" s="34"/>
      <c r="G511" s="7" t="s">
        <v>197</v>
      </c>
      <c r="H511" s="8">
        <f t="shared" ref="H511:L511" si="192">H512+H533</f>
        <v>8135965</v>
      </c>
      <c r="I511" s="8">
        <f t="shared" si="192"/>
        <v>7627035</v>
      </c>
      <c r="J511" s="8">
        <f t="shared" si="192"/>
        <v>7785072</v>
      </c>
      <c r="K511" s="8">
        <f t="shared" si="192"/>
        <v>7460867.5999999996</v>
      </c>
      <c r="L511" s="8">
        <f t="shared" si="192"/>
        <v>7249249</v>
      </c>
    </row>
    <row r="512" spans="2:12" x14ac:dyDescent="0.25">
      <c r="B512" s="43">
        <f t="shared" ref="B512:B540" si="193">B511+1</f>
        <v>504</v>
      </c>
      <c r="C512" s="35"/>
      <c r="D512" s="35"/>
      <c r="E512" s="35">
        <v>312001</v>
      </c>
      <c r="F512" s="35"/>
      <c r="G512" s="9" t="s">
        <v>198</v>
      </c>
      <c r="H512" s="10">
        <f t="shared" ref="H512:L512" si="194">SUM(H513:H530)</f>
        <v>845300</v>
      </c>
      <c r="I512" s="10">
        <f t="shared" si="194"/>
        <v>845090</v>
      </c>
      <c r="J512" s="10">
        <f>SUM(J513:J532)</f>
        <v>890962</v>
      </c>
      <c r="K512" s="10">
        <f t="shared" si="194"/>
        <v>922048.04999999993</v>
      </c>
      <c r="L512" s="10">
        <f t="shared" si="194"/>
        <v>1023517</v>
      </c>
    </row>
    <row r="513" spans="2:12" x14ac:dyDescent="0.25">
      <c r="B513" s="43">
        <f t="shared" si="193"/>
        <v>505</v>
      </c>
      <c r="C513" s="36"/>
      <c r="D513" s="36"/>
      <c r="E513" s="36"/>
      <c r="F513" s="36"/>
      <c r="G513" s="12" t="s">
        <v>199</v>
      </c>
      <c r="H513" s="13">
        <v>0</v>
      </c>
      <c r="I513" s="13">
        <v>0</v>
      </c>
      <c r="J513" s="13"/>
      <c r="K513" s="13">
        <v>3349</v>
      </c>
      <c r="L513" s="13"/>
    </row>
    <row r="514" spans="2:12" x14ac:dyDescent="0.25">
      <c r="B514" s="43">
        <f t="shared" si="193"/>
        <v>506</v>
      </c>
      <c r="C514" s="36"/>
      <c r="D514" s="36"/>
      <c r="E514" s="36"/>
      <c r="F514" s="36" t="s">
        <v>200</v>
      </c>
      <c r="G514" s="12" t="s">
        <v>201</v>
      </c>
      <c r="H514" s="13">
        <v>833300</v>
      </c>
      <c r="I514" s="13">
        <v>833090</v>
      </c>
      <c r="J514" s="13">
        <v>846528</v>
      </c>
      <c r="K514" s="13">
        <v>814253.85</v>
      </c>
      <c r="L514" s="13">
        <v>833088</v>
      </c>
    </row>
    <row r="515" spans="2:12" x14ac:dyDescent="0.25">
      <c r="B515" s="43">
        <f t="shared" si="193"/>
        <v>507</v>
      </c>
      <c r="C515" s="36"/>
      <c r="D515" s="36"/>
      <c r="E515" s="36"/>
      <c r="F515" s="36" t="s">
        <v>202</v>
      </c>
      <c r="G515" s="12" t="s">
        <v>203</v>
      </c>
      <c r="H515" s="13">
        <v>0</v>
      </c>
      <c r="I515" s="13">
        <v>0</v>
      </c>
      <c r="J515" s="13">
        <v>7135</v>
      </c>
      <c r="K515" s="13">
        <v>6693.96</v>
      </c>
      <c r="L515" s="13">
        <v>6204</v>
      </c>
    </row>
    <row r="516" spans="2:12" x14ac:dyDescent="0.25">
      <c r="B516" s="43">
        <f t="shared" si="193"/>
        <v>508</v>
      </c>
      <c r="C516" s="36"/>
      <c r="D516" s="36"/>
      <c r="E516" s="36"/>
      <c r="F516" s="36" t="s">
        <v>204</v>
      </c>
      <c r="G516" s="12" t="s">
        <v>205</v>
      </c>
      <c r="H516" s="13">
        <v>0</v>
      </c>
      <c r="I516" s="13">
        <v>0</v>
      </c>
      <c r="J516" s="13"/>
      <c r="K516" s="13"/>
      <c r="L516" s="13">
        <v>5388</v>
      </c>
    </row>
    <row r="517" spans="2:12" x14ac:dyDescent="0.25">
      <c r="B517" s="43">
        <f t="shared" si="193"/>
        <v>509</v>
      </c>
      <c r="C517" s="36"/>
      <c r="D517" s="36"/>
      <c r="E517" s="36"/>
      <c r="F517" s="36" t="s">
        <v>210</v>
      </c>
      <c r="G517" s="12" t="s">
        <v>211</v>
      </c>
      <c r="H517" s="13">
        <v>0</v>
      </c>
      <c r="I517" s="13">
        <v>0</v>
      </c>
      <c r="J517" s="13"/>
      <c r="K517" s="13">
        <v>2273</v>
      </c>
      <c r="L517" s="13">
        <v>3402</v>
      </c>
    </row>
    <row r="518" spans="2:12" x14ac:dyDescent="0.25">
      <c r="B518" s="43">
        <f t="shared" si="193"/>
        <v>510</v>
      </c>
      <c r="C518" s="36"/>
      <c r="D518" s="36"/>
      <c r="E518" s="36"/>
      <c r="F518" s="36" t="s">
        <v>212</v>
      </c>
      <c r="G518" s="12" t="s">
        <v>213</v>
      </c>
      <c r="H518" s="13">
        <v>0</v>
      </c>
      <c r="I518" s="13">
        <v>0</v>
      </c>
      <c r="J518" s="13"/>
      <c r="K518" s="13">
        <v>12537</v>
      </c>
      <c r="L518" s="13">
        <v>17382</v>
      </c>
    </row>
    <row r="519" spans="2:12" x14ac:dyDescent="0.25">
      <c r="B519" s="43">
        <f t="shared" si="193"/>
        <v>511</v>
      </c>
      <c r="C519" s="36"/>
      <c r="D519" s="36"/>
      <c r="E519" s="36"/>
      <c r="F519" s="36" t="s">
        <v>214</v>
      </c>
      <c r="G519" s="12" t="s">
        <v>215</v>
      </c>
      <c r="H519" s="13">
        <v>12000</v>
      </c>
      <c r="I519" s="13">
        <v>12000</v>
      </c>
      <c r="J519" s="13">
        <v>15000</v>
      </c>
      <c r="K519" s="13">
        <v>10171.540000000001</v>
      </c>
      <c r="L519" s="13">
        <v>6880</v>
      </c>
    </row>
    <row r="520" spans="2:12" x14ac:dyDescent="0.25">
      <c r="B520" s="43">
        <f t="shared" si="193"/>
        <v>512</v>
      </c>
      <c r="C520" s="36"/>
      <c r="D520" s="36"/>
      <c r="E520" s="36"/>
      <c r="F520" s="36" t="s">
        <v>218</v>
      </c>
      <c r="G520" s="12" t="s">
        <v>219</v>
      </c>
      <c r="H520" s="13">
        <v>0</v>
      </c>
      <c r="I520" s="13">
        <v>0</v>
      </c>
      <c r="J520" s="13"/>
      <c r="K520" s="13"/>
      <c r="L520" s="13">
        <v>63521</v>
      </c>
    </row>
    <row r="521" spans="2:12" x14ac:dyDescent="0.25">
      <c r="B521" s="43">
        <f t="shared" si="193"/>
        <v>513</v>
      </c>
      <c r="C521" s="36"/>
      <c r="D521" s="36"/>
      <c r="E521" s="36"/>
      <c r="F521" s="36" t="s">
        <v>220</v>
      </c>
      <c r="G521" s="12" t="s">
        <v>221</v>
      </c>
      <c r="H521" s="13">
        <v>0</v>
      </c>
      <c r="I521" s="13">
        <v>0</v>
      </c>
      <c r="J521" s="13"/>
      <c r="K521" s="13">
        <v>6984</v>
      </c>
      <c r="L521" s="13">
        <v>9000</v>
      </c>
    </row>
    <row r="522" spans="2:12" x14ac:dyDescent="0.25">
      <c r="B522" s="43">
        <f t="shared" si="193"/>
        <v>514</v>
      </c>
      <c r="C522" s="36"/>
      <c r="D522" s="36"/>
      <c r="E522" s="36"/>
      <c r="F522" s="36" t="s">
        <v>223</v>
      </c>
      <c r="G522" s="12" t="s">
        <v>224</v>
      </c>
      <c r="H522" s="13">
        <v>0</v>
      </c>
      <c r="I522" s="13">
        <v>0</v>
      </c>
      <c r="J522" s="13"/>
      <c r="K522" s="13"/>
      <c r="L522" s="13">
        <v>45562</v>
      </c>
    </row>
    <row r="523" spans="2:12" x14ac:dyDescent="0.25">
      <c r="B523" s="43">
        <f t="shared" si="193"/>
        <v>515</v>
      </c>
      <c r="C523" s="36"/>
      <c r="D523" s="36"/>
      <c r="E523" s="36"/>
      <c r="F523" s="36" t="s">
        <v>225</v>
      </c>
      <c r="G523" s="12" t="s">
        <v>226</v>
      </c>
      <c r="H523" s="13">
        <v>0</v>
      </c>
      <c r="I523" s="13">
        <v>0</v>
      </c>
      <c r="J523" s="13"/>
      <c r="K523" s="13">
        <v>14892.7</v>
      </c>
      <c r="L523" s="13">
        <v>0</v>
      </c>
    </row>
    <row r="524" spans="2:12" x14ac:dyDescent="0.25">
      <c r="B524" s="43">
        <f t="shared" si="193"/>
        <v>516</v>
      </c>
      <c r="C524" s="36"/>
      <c r="D524" s="36"/>
      <c r="E524" s="36"/>
      <c r="F524" s="36" t="s">
        <v>227</v>
      </c>
      <c r="G524" s="12" t="s">
        <v>228</v>
      </c>
      <c r="H524" s="13">
        <v>0</v>
      </c>
      <c r="I524" s="13">
        <v>0</v>
      </c>
      <c r="J524" s="13"/>
      <c r="K524" s="13">
        <v>0</v>
      </c>
      <c r="L524" s="13">
        <v>33090</v>
      </c>
    </row>
    <row r="525" spans="2:12" x14ac:dyDescent="0.25">
      <c r="B525" s="43">
        <f t="shared" si="193"/>
        <v>517</v>
      </c>
      <c r="C525" s="36"/>
      <c r="D525" s="36"/>
      <c r="E525" s="36"/>
      <c r="F525" s="36" t="s">
        <v>231</v>
      </c>
      <c r="G525" s="12" t="s">
        <v>232</v>
      </c>
      <c r="H525" s="13">
        <v>0</v>
      </c>
      <c r="I525" s="13">
        <v>0</v>
      </c>
      <c r="J525" s="13"/>
      <c r="K525" s="13">
        <v>0</v>
      </c>
      <c r="L525" s="13">
        <v>0</v>
      </c>
    </row>
    <row r="526" spans="2:12" x14ac:dyDescent="0.25">
      <c r="B526" s="43">
        <f t="shared" si="193"/>
        <v>518</v>
      </c>
      <c r="C526" s="36"/>
      <c r="D526" s="36"/>
      <c r="E526" s="36"/>
      <c r="F526" s="36" t="s">
        <v>233</v>
      </c>
      <c r="G526" s="12" t="s">
        <v>234</v>
      </c>
      <c r="H526" s="13">
        <v>0</v>
      </c>
      <c r="I526" s="13">
        <v>0</v>
      </c>
      <c r="J526" s="13">
        <v>6399</v>
      </c>
      <c r="K526" s="13">
        <v>0</v>
      </c>
      <c r="L526" s="13">
        <v>0</v>
      </c>
    </row>
    <row r="527" spans="2:12" x14ac:dyDescent="0.25">
      <c r="B527" s="43">
        <f t="shared" si="193"/>
        <v>519</v>
      </c>
      <c r="C527" s="36"/>
      <c r="D527" s="36"/>
      <c r="E527" s="36"/>
      <c r="F527" s="36" t="s">
        <v>235</v>
      </c>
      <c r="G527" s="12" t="s">
        <v>236</v>
      </c>
      <c r="H527" s="13">
        <v>0</v>
      </c>
      <c r="I527" s="13">
        <v>0</v>
      </c>
      <c r="J527" s="13">
        <v>2200</v>
      </c>
      <c r="K527" s="13">
        <v>0</v>
      </c>
      <c r="L527" s="13">
        <v>0</v>
      </c>
    </row>
    <row r="528" spans="2:12" x14ac:dyDescent="0.25">
      <c r="B528" s="43">
        <f t="shared" si="193"/>
        <v>520</v>
      </c>
      <c r="C528" s="36"/>
      <c r="D528" s="36"/>
      <c r="E528" s="36"/>
      <c r="F528" s="36" t="s">
        <v>237</v>
      </c>
      <c r="G528" s="12" t="s">
        <v>238</v>
      </c>
      <c r="H528" s="13">
        <v>0</v>
      </c>
      <c r="I528" s="13">
        <v>0</v>
      </c>
      <c r="J528" s="13">
        <v>3200</v>
      </c>
      <c r="K528" s="13"/>
      <c r="L528" s="13"/>
    </row>
    <row r="529" spans="2:12" x14ac:dyDescent="0.25">
      <c r="B529" s="43">
        <f t="shared" si="193"/>
        <v>521</v>
      </c>
      <c r="C529" s="36"/>
      <c r="D529" s="36"/>
      <c r="E529" s="36"/>
      <c r="F529" s="36"/>
      <c r="G529" s="12" t="s">
        <v>239</v>
      </c>
      <c r="H529" s="13">
        <v>0</v>
      </c>
      <c r="I529" s="13">
        <v>0</v>
      </c>
      <c r="J529" s="13"/>
      <c r="K529" s="13">
        <v>38893</v>
      </c>
      <c r="L529" s="13"/>
    </row>
    <row r="530" spans="2:12" x14ac:dyDescent="0.25">
      <c r="B530" s="43">
        <f t="shared" si="193"/>
        <v>522</v>
      </c>
      <c r="C530" s="36"/>
      <c r="D530" s="36"/>
      <c r="E530" s="36"/>
      <c r="F530" s="36"/>
      <c r="G530" s="12" t="s">
        <v>240</v>
      </c>
      <c r="H530" s="13">
        <v>0</v>
      </c>
      <c r="I530" s="13">
        <v>0</v>
      </c>
      <c r="J530" s="13"/>
      <c r="K530" s="13">
        <v>12000</v>
      </c>
      <c r="L530" s="13"/>
    </row>
    <row r="531" spans="2:12" x14ac:dyDescent="0.25">
      <c r="B531" s="43">
        <f t="shared" si="193"/>
        <v>523</v>
      </c>
      <c r="C531" s="36"/>
      <c r="D531" s="36"/>
      <c r="E531" s="36"/>
      <c r="F531" s="36"/>
      <c r="G531" s="12" t="s">
        <v>775</v>
      </c>
      <c r="H531" s="13">
        <v>0</v>
      </c>
      <c r="I531" s="13">
        <v>0</v>
      </c>
      <c r="J531" s="13">
        <v>6500</v>
      </c>
      <c r="K531" s="13"/>
      <c r="L531" s="13"/>
    </row>
    <row r="532" spans="2:12" x14ac:dyDescent="0.25">
      <c r="B532" s="43">
        <f t="shared" si="193"/>
        <v>524</v>
      </c>
      <c r="C532" s="36"/>
      <c r="D532" s="36"/>
      <c r="E532" s="36"/>
      <c r="F532" s="36"/>
      <c r="G532" s="12" t="s">
        <v>776</v>
      </c>
      <c r="H532" s="13">
        <v>0</v>
      </c>
      <c r="I532" s="13">
        <v>0</v>
      </c>
      <c r="J532" s="13">
        <v>4000</v>
      </c>
      <c r="K532" s="13"/>
      <c r="L532" s="13"/>
    </row>
    <row r="533" spans="2:12" x14ac:dyDescent="0.25">
      <c r="B533" s="43">
        <f t="shared" si="193"/>
        <v>525</v>
      </c>
      <c r="C533" s="35"/>
      <c r="D533" s="35"/>
      <c r="E533" s="35">
        <v>312012</v>
      </c>
      <c r="F533" s="35"/>
      <c r="G533" s="9" t="s">
        <v>242</v>
      </c>
      <c r="H533" s="10">
        <f>SUM(H534:H549)</f>
        <v>7290665</v>
      </c>
      <c r="I533" s="10">
        <f t="shared" ref="I533:L533" si="195">SUM(I534:I549)</f>
        <v>6781945</v>
      </c>
      <c r="J533" s="10">
        <f t="shared" si="195"/>
        <v>6894110</v>
      </c>
      <c r="K533" s="10">
        <f t="shared" si="195"/>
        <v>6538819.5499999998</v>
      </c>
      <c r="L533" s="10">
        <f t="shared" si="195"/>
        <v>6225732</v>
      </c>
    </row>
    <row r="534" spans="2:12" x14ac:dyDescent="0.25">
      <c r="B534" s="43">
        <f t="shared" si="193"/>
        <v>526</v>
      </c>
      <c r="C534" s="36"/>
      <c r="D534" s="36"/>
      <c r="E534" s="36"/>
      <c r="F534" s="36" t="s">
        <v>243</v>
      </c>
      <c r="G534" s="12" t="s">
        <v>222</v>
      </c>
      <c r="H534" s="13">
        <f>6958100-290</f>
        <v>6957810</v>
      </c>
      <c r="I534" s="13">
        <v>6479800</v>
      </c>
      <c r="J534" s="13">
        <v>6527930</v>
      </c>
      <c r="K534" s="13">
        <f>6052656.82+2200</f>
        <v>6054856.8200000003</v>
      </c>
      <c r="L534" s="13">
        <v>5781655</v>
      </c>
    </row>
    <row r="535" spans="2:12" x14ac:dyDescent="0.25">
      <c r="B535" s="43">
        <f t="shared" si="193"/>
        <v>527</v>
      </c>
      <c r="C535" s="36"/>
      <c r="D535" s="36"/>
      <c r="E535" s="36"/>
      <c r="F535" s="36" t="s">
        <v>244</v>
      </c>
      <c r="G535" s="12" t="s">
        <v>245</v>
      </c>
      <c r="H535" s="13">
        <f>83700-45</f>
        <v>83655</v>
      </c>
      <c r="I535" s="13">
        <v>81340</v>
      </c>
      <c r="J535" s="13">
        <v>81340</v>
      </c>
      <c r="K535" s="13">
        <v>82844</v>
      </c>
      <c r="L535" s="13">
        <v>81540</v>
      </c>
    </row>
    <row r="536" spans="2:12" x14ac:dyDescent="0.25">
      <c r="B536" s="43">
        <f t="shared" si="193"/>
        <v>528</v>
      </c>
      <c r="C536" s="36"/>
      <c r="D536" s="36"/>
      <c r="E536" s="36"/>
      <c r="F536" s="36" t="s">
        <v>246</v>
      </c>
      <c r="G536" s="12" t="s">
        <v>247</v>
      </c>
      <c r="H536" s="13">
        <v>99000</v>
      </c>
      <c r="I536" s="13">
        <v>87000</v>
      </c>
      <c r="J536" s="13">
        <v>99334</v>
      </c>
      <c r="K536" s="13">
        <v>87265.77</v>
      </c>
      <c r="L536" s="13">
        <v>71476</v>
      </c>
    </row>
    <row r="537" spans="2:12" x14ac:dyDescent="0.25">
      <c r="B537" s="43">
        <f t="shared" si="193"/>
        <v>529</v>
      </c>
      <c r="C537" s="36"/>
      <c r="D537" s="36"/>
      <c r="E537" s="36"/>
      <c r="F537" s="36" t="s">
        <v>248</v>
      </c>
      <c r="G537" s="12" t="s">
        <v>249</v>
      </c>
      <c r="H537" s="13">
        <v>52000</v>
      </c>
      <c r="I537" s="13">
        <v>52000</v>
      </c>
      <c r="J537" s="13">
        <v>52000</v>
      </c>
      <c r="K537" s="13">
        <v>54388.26</v>
      </c>
      <c r="L537" s="13">
        <v>54385</v>
      </c>
    </row>
    <row r="538" spans="2:12" x14ac:dyDescent="0.25">
      <c r="B538" s="43">
        <f t="shared" si="193"/>
        <v>530</v>
      </c>
      <c r="C538" s="36"/>
      <c r="D538" s="36"/>
      <c r="E538" s="36"/>
      <c r="F538" s="36" t="s">
        <v>250</v>
      </c>
      <c r="G538" s="12" t="s">
        <v>251</v>
      </c>
      <c r="H538" s="13">
        <v>38900</v>
      </c>
      <c r="I538" s="13">
        <v>38805</v>
      </c>
      <c r="J538" s="13">
        <f>38805+2203</f>
        <v>41008</v>
      </c>
      <c r="K538" s="13">
        <v>39472</v>
      </c>
      <c r="L538" s="13">
        <v>38789</v>
      </c>
    </row>
    <row r="539" spans="2:12" x14ac:dyDescent="0.25">
      <c r="B539" s="43">
        <f t="shared" si="193"/>
        <v>531</v>
      </c>
      <c r="C539" s="36"/>
      <c r="D539" s="36"/>
      <c r="E539" s="36"/>
      <c r="F539" s="36" t="s">
        <v>252</v>
      </c>
      <c r="G539" s="12" t="s">
        <v>253</v>
      </c>
      <c r="H539" s="13">
        <v>18500</v>
      </c>
      <c r="I539" s="13">
        <v>18500</v>
      </c>
      <c r="J539" s="13">
        <v>18500</v>
      </c>
      <c r="K539" s="13">
        <v>18442.38</v>
      </c>
      <c r="L539" s="13">
        <v>18441</v>
      </c>
    </row>
    <row r="540" spans="2:12" x14ac:dyDescent="0.25">
      <c r="B540" s="43">
        <f t="shared" si="193"/>
        <v>532</v>
      </c>
      <c r="C540" s="36"/>
      <c r="D540" s="36"/>
      <c r="E540" s="36"/>
      <c r="F540" s="36" t="s">
        <v>254</v>
      </c>
      <c r="G540" s="12" t="s">
        <v>255</v>
      </c>
      <c r="H540" s="13">
        <v>24500</v>
      </c>
      <c r="I540" s="13">
        <v>24500</v>
      </c>
      <c r="J540" s="13">
        <v>24500</v>
      </c>
      <c r="K540" s="13">
        <v>24323.67</v>
      </c>
      <c r="L540" s="13">
        <v>24276</v>
      </c>
    </row>
    <row r="541" spans="2:12" x14ac:dyDescent="0.25">
      <c r="B541" s="43">
        <f t="shared" ref="B541:B603" si="196">B540+1</f>
        <v>533</v>
      </c>
      <c r="C541" s="36"/>
      <c r="D541" s="36"/>
      <c r="E541" s="36"/>
      <c r="F541" s="36" t="s">
        <v>256</v>
      </c>
      <c r="G541" s="12" t="s">
        <v>257</v>
      </c>
      <c r="H541" s="13">
        <v>5200</v>
      </c>
      <c r="I541" s="13">
        <v>0</v>
      </c>
      <c r="J541" s="13">
        <v>5225</v>
      </c>
      <c r="K541" s="13">
        <v>5232.49</v>
      </c>
      <c r="L541" s="13">
        <v>5236</v>
      </c>
    </row>
    <row r="542" spans="2:12" x14ac:dyDescent="0.25">
      <c r="B542" s="43">
        <f t="shared" si="196"/>
        <v>534</v>
      </c>
      <c r="C542" s="36"/>
      <c r="D542" s="36"/>
      <c r="E542" s="36"/>
      <c r="F542" s="36" t="s">
        <v>206</v>
      </c>
      <c r="G542" s="12" t="s">
        <v>207</v>
      </c>
      <c r="H542" s="13">
        <v>0</v>
      </c>
      <c r="I542" s="13">
        <v>0</v>
      </c>
      <c r="J542" s="13"/>
      <c r="K542" s="13">
        <v>89400</v>
      </c>
      <c r="L542" s="13">
        <v>88508</v>
      </c>
    </row>
    <row r="543" spans="2:12" x14ac:dyDescent="0.25">
      <c r="B543" s="43">
        <f t="shared" si="196"/>
        <v>535</v>
      </c>
      <c r="C543" s="36"/>
      <c r="D543" s="36"/>
      <c r="E543" s="36"/>
      <c r="F543" s="36" t="s">
        <v>208</v>
      </c>
      <c r="G543" s="12" t="s">
        <v>209</v>
      </c>
      <c r="H543" s="13">
        <v>0</v>
      </c>
      <c r="I543" s="13">
        <v>0</v>
      </c>
      <c r="J543" s="13"/>
      <c r="K543" s="13">
        <v>42725</v>
      </c>
      <c r="L543" s="13">
        <v>30914</v>
      </c>
    </row>
    <row r="544" spans="2:12" x14ac:dyDescent="0.25">
      <c r="B544" s="43">
        <f t="shared" si="196"/>
        <v>536</v>
      </c>
      <c r="C544" s="36"/>
      <c r="D544" s="36"/>
      <c r="E544" s="36"/>
      <c r="F544" s="36" t="s">
        <v>216</v>
      </c>
      <c r="G544" s="12" t="s">
        <v>217</v>
      </c>
      <c r="H544" s="13">
        <v>0</v>
      </c>
      <c r="I544" s="13">
        <v>0</v>
      </c>
      <c r="J544" s="13"/>
      <c r="K544" s="13">
        <v>19561</v>
      </c>
      <c r="L544" s="13">
        <v>21069</v>
      </c>
    </row>
    <row r="545" spans="2:12" x14ac:dyDescent="0.25">
      <c r="B545" s="43">
        <f t="shared" si="196"/>
        <v>537</v>
      </c>
      <c r="C545" s="36"/>
      <c r="D545" s="36"/>
      <c r="E545" s="36"/>
      <c r="F545" s="36" t="s">
        <v>258</v>
      </c>
      <c r="G545" s="12" t="s">
        <v>259</v>
      </c>
      <c r="H545" s="13">
        <v>0</v>
      </c>
      <c r="I545" s="13">
        <v>0</v>
      </c>
      <c r="J545" s="13"/>
      <c r="K545" s="13">
        <v>5406</v>
      </c>
      <c r="L545" s="13">
        <v>7243</v>
      </c>
    </row>
    <row r="546" spans="2:12" ht="12.75" customHeight="1" x14ac:dyDescent="0.25">
      <c r="B546" s="43">
        <f t="shared" si="196"/>
        <v>538</v>
      </c>
      <c r="C546" s="36"/>
      <c r="D546" s="36"/>
      <c r="E546" s="36"/>
      <c r="F546" s="36" t="s">
        <v>260</v>
      </c>
      <c r="G546" s="12" t="s">
        <v>261</v>
      </c>
      <c r="H546" s="13">
        <v>0</v>
      </c>
      <c r="I546" s="13">
        <v>0</v>
      </c>
      <c r="J546" s="13"/>
      <c r="K546" s="13">
        <v>14902.16</v>
      </c>
      <c r="L546" s="13">
        <v>2200</v>
      </c>
    </row>
    <row r="547" spans="2:12" x14ac:dyDescent="0.25">
      <c r="B547" s="43">
        <f t="shared" si="196"/>
        <v>539</v>
      </c>
      <c r="C547" s="36"/>
      <c r="D547" s="36"/>
      <c r="E547" s="36"/>
      <c r="F547" s="36" t="s">
        <v>229</v>
      </c>
      <c r="G547" s="12" t="s">
        <v>230</v>
      </c>
      <c r="H547" s="13">
        <v>0</v>
      </c>
      <c r="I547" s="13">
        <v>0</v>
      </c>
      <c r="J547" s="13">
        <v>44273</v>
      </c>
      <c r="K547" s="13">
        <v>0</v>
      </c>
      <c r="L547" s="13">
        <v>0</v>
      </c>
    </row>
    <row r="548" spans="2:12" x14ac:dyDescent="0.25">
      <c r="B548" s="43">
        <f t="shared" si="196"/>
        <v>540</v>
      </c>
      <c r="C548" s="36"/>
      <c r="D548" s="36"/>
      <c r="E548" s="36"/>
      <c r="F548" s="36"/>
      <c r="G548" s="12" t="s">
        <v>262</v>
      </c>
      <c r="H548" s="13">
        <v>11100</v>
      </c>
      <c r="I548" s="13"/>
      <c r="J548" s="13"/>
      <c r="K548" s="13"/>
      <c r="L548" s="13"/>
    </row>
    <row r="549" spans="2:12" ht="15.75" thickBot="1" x14ac:dyDescent="0.3">
      <c r="B549" s="43">
        <f t="shared" si="196"/>
        <v>541</v>
      </c>
      <c r="C549" s="36"/>
      <c r="D549" s="36"/>
      <c r="E549" s="36"/>
      <c r="F549" s="36"/>
      <c r="G549" s="12" t="s">
        <v>263</v>
      </c>
      <c r="H549" s="13">
        <v>0</v>
      </c>
      <c r="I549" s="13">
        <v>0</v>
      </c>
      <c r="J549" s="13"/>
      <c r="K549" s="13">
        <v>0</v>
      </c>
      <c r="L549" s="13">
        <v>0</v>
      </c>
    </row>
    <row r="550" spans="2:12" ht="15.75" thickBot="1" x14ac:dyDescent="0.3">
      <c r="B550" s="43">
        <f t="shared" si="196"/>
        <v>542</v>
      </c>
      <c r="C550" s="32">
        <v>1</v>
      </c>
      <c r="D550" s="32"/>
      <c r="E550" s="32"/>
      <c r="F550" s="32"/>
      <c r="G550" s="3" t="s">
        <v>57</v>
      </c>
      <c r="H550" s="4">
        <f>H551</f>
        <v>0</v>
      </c>
      <c r="I550" s="4">
        <f t="shared" ref="I550:L552" si="197">I551</f>
        <v>0</v>
      </c>
      <c r="J550" s="4">
        <f t="shared" si="197"/>
        <v>5400</v>
      </c>
      <c r="K550" s="4">
        <f t="shared" si="197"/>
        <v>7350</v>
      </c>
      <c r="L550" s="4">
        <f t="shared" si="197"/>
        <v>9977</v>
      </c>
    </row>
    <row r="551" spans="2:12" x14ac:dyDescent="0.25">
      <c r="B551" s="43">
        <f t="shared" si="196"/>
        <v>543</v>
      </c>
      <c r="C551" s="33">
        <v>310</v>
      </c>
      <c r="D551" s="33"/>
      <c r="E551" s="33"/>
      <c r="F551" s="33"/>
      <c r="G551" s="5" t="s">
        <v>194</v>
      </c>
      <c r="H551" s="6">
        <f>H552</f>
        <v>0</v>
      </c>
      <c r="I551" s="6">
        <f t="shared" si="197"/>
        <v>0</v>
      </c>
      <c r="J551" s="6">
        <f t="shared" si="197"/>
        <v>5400</v>
      </c>
      <c r="K551" s="6">
        <f t="shared" si="197"/>
        <v>7350</v>
      </c>
      <c r="L551" s="6">
        <f t="shared" si="197"/>
        <v>9977</v>
      </c>
    </row>
    <row r="552" spans="2:12" x14ac:dyDescent="0.25">
      <c r="B552" s="43">
        <f t="shared" si="196"/>
        <v>544</v>
      </c>
      <c r="C552" s="34"/>
      <c r="D552" s="34">
        <v>312</v>
      </c>
      <c r="E552" s="34"/>
      <c r="F552" s="34"/>
      <c r="G552" s="7" t="s">
        <v>197</v>
      </c>
      <c r="H552" s="8">
        <f>H553</f>
        <v>0</v>
      </c>
      <c r="I552" s="8">
        <f t="shared" si="197"/>
        <v>0</v>
      </c>
      <c r="J552" s="8">
        <f t="shared" si="197"/>
        <v>5400</v>
      </c>
      <c r="K552" s="8">
        <f t="shared" si="197"/>
        <v>7350</v>
      </c>
      <c r="L552" s="8">
        <f t="shared" si="197"/>
        <v>9977</v>
      </c>
    </row>
    <row r="553" spans="2:12" ht="15.75" thickBot="1" x14ac:dyDescent="0.3">
      <c r="B553" s="43">
        <f t="shared" si="196"/>
        <v>545</v>
      </c>
      <c r="C553" s="35"/>
      <c r="D553" s="35"/>
      <c r="E553" s="35">
        <v>312001</v>
      </c>
      <c r="F553" s="35"/>
      <c r="G553" s="12" t="s">
        <v>198</v>
      </c>
      <c r="H553" s="10">
        <v>0</v>
      </c>
      <c r="I553" s="10"/>
      <c r="J553" s="10">
        <v>5400</v>
      </c>
      <c r="K553" s="10">
        <v>7350</v>
      </c>
      <c r="L553" s="10">
        <v>9977</v>
      </c>
    </row>
    <row r="554" spans="2:12" ht="15.75" thickBot="1" x14ac:dyDescent="0.3">
      <c r="B554" s="43">
        <f t="shared" si="196"/>
        <v>546</v>
      </c>
      <c r="C554" s="32">
        <v>5</v>
      </c>
      <c r="D554" s="32"/>
      <c r="E554" s="32"/>
      <c r="F554" s="32"/>
      <c r="G554" s="3" t="s">
        <v>138</v>
      </c>
      <c r="H554" s="4">
        <f>H555</f>
        <v>328500</v>
      </c>
      <c r="I554" s="4">
        <f t="shared" ref="I554:L555" si="198">I555</f>
        <v>0</v>
      </c>
      <c r="J554" s="4">
        <f t="shared" si="198"/>
        <v>284427</v>
      </c>
      <c r="K554" s="4">
        <f t="shared" si="198"/>
        <v>3787</v>
      </c>
      <c r="L554" s="4">
        <f t="shared" si="198"/>
        <v>2923</v>
      </c>
    </row>
    <row r="555" spans="2:12" x14ac:dyDescent="0.25">
      <c r="B555" s="43">
        <f t="shared" si="196"/>
        <v>547</v>
      </c>
      <c r="C555" s="33" t="s">
        <v>60</v>
      </c>
      <c r="D555" s="33"/>
      <c r="E555" s="33"/>
      <c r="F555" s="33"/>
      <c r="G555" s="5"/>
      <c r="H555" s="6">
        <f>H556</f>
        <v>328500</v>
      </c>
      <c r="I555" s="6">
        <f t="shared" si="198"/>
        <v>0</v>
      </c>
      <c r="J555" s="6">
        <f t="shared" si="198"/>
        <v>284427</v>
      </c>
      <c r="K555" s="6">
        <f t="shared" si="198"/>
        <v>3787</v>
      </c>
      <c r="L555" s="6">
        <f t="shared" si="198"/>
        <v>2923</v>
      </c>
    </row>
    <row r="556" spans="2:12" x14ac:dyDescent="0.25">
      <c r="B556" s="43">
        <f t="shared" si="196"/>
        <v>548</v>
      </c>
      <c r="C556" s="34">
        <v>310</v>
      </c>
      <c r="D556" s="34"/>
      <c r="E556" s="34"/>
      <c r="F556" s="34"/>
      <c r="G556" s="7" t="s">
        <v>194</v>
      </c>
      <c r="H556" s="8">
        <f>H557+H559</f>
        <v>328500</v>
      </c>
      <c r="I556" s="8">
        <f t="shared" ref="I556:L556" si="199">I559+I557</f>
        <v>0</v>
      </c>
      <c r="J556" s="8">
        <f t="shared" si="199"/>
        <v>284427</v>
      </c>
      <c r="K556" s="8">
        <f t="shared" si="199"/>
        <v>3787</v>
      </c>
      <c r="L556" s="8">
        <f t="shared" si="199"/>
        <v>2923</v>
      </c>
    </row>
    <row r="557" spans="2:12" x14ac:dyDescent="0.25">
      <c r="B557" s="43">
        <f t="shared" si="196"/>
        <v>549</v>
      </c>
      <c r="C557" s="35"/>
      <c r="D557" s="35">
        <v>311</v>
      </c>
      <c r="E557" s="35"/>
      <c r="F557" s="35"/>
      <c r="G557" s="9" t="s">
        <v>195</v>
      </c>
      <c r="H557" s="10">
        <f>H558</f>
        <v>0</v>
      </c>
      <c r="I557" s="10">
        <f t="shared" ref="I557:L557" si="200">I558</f>
        <v>0</v>
      </c>
      <c r="J557" s="10">
        <f t="shared" si="200"/>
        <v>0</v>
      </c>
      <c r="K557" s="10">
        <f t="shared" si="200"/>
        <v>3787</v>
      </c>
      <c r="L557" s="10">
        <f t="shared" si="200"/>
        <v>2923</v>
      </c>
    </row>
    <row r="558" spans="2:12" x14ac:dyDescent="0.25">
      <c r="B558" s="43">
        <f t="shared" si="196"/>
        <v>550</v>
      </c>
      <c r="C558" s="36"/>
      <c r="D558" s="36"/>
      <c r="E558" s="36">
        <v>311</v>
      </c>
      <c r="F558" s="36"/>
      <c r="G558" s="12" t="s">
        <v>195</v>
      </c>
      <c r="H558" s="13">
        <v>0</v>
      </c>
      <c r="I558" s="13">
        <v>0</v>
      </c>
      <c r="J558" s="13"/>
      <c r="K558" s="13">
        <v>3787</v>
      </c>
      <c r="L558" s="13">
        <v>2923</v>
      </c>
    </row>
    <row r="559" spans="2:12" x14ac:dyDescent="0.25">
      <c r="B559" s="43">
        <f t="shared" si="196"/>
        <v>551</v>
      </c>
      <c r="C559" s="35"/>
      <c r="D559" s="35">
        <v>312</v>
      </c>
      <c r="E559" s="35"/>
      <c r="F559" s="35"/>
      <c r="G559" s="9" t="s">
        <v>197</v>
      </c>
      <c r="H559" s="10">
        <f>H560</f>
        <v>328500</v>
      </c>
      <c r="I559" s="10">
        <f t="shared" ref="I559:L559" si="201">I560</f>
        <v>0</v>
      </c>
      <c r="J559" s="10">
        <f t="shared" si="201"/>
        <v>284427</v>
      </c>
      <c r="K559" s="10">
        <f t="shared" si="201"/>
        <v>0</v>
      </c>
      <c r="L559" s="10">
        <f t="shared" si="201"/>
        <v>0</v>
      </c>
    </row>
    <row r="560" spans="2:12" ht="15.75" thickBot="1" x14ac:dyDescent="0.3">
      <c r="B560" s="43">
        <f t="shared" si="196"/>
        <v>552</v>
      </c>
      <c r="C560" s="36"/>
      <c r="D560" s="36"/>
      <c r="E560" s="36">
        <v>312001</v>
      </c>
      <c r="F560" s="36"/>
      <c r="G560" s="12" t="s">
        <v>198</v>
      </c>
      <c r="H560" s="13">
        <v>328500</v>
      </c>
      <c r="I560" s="13">
        <v>0</v>
      </c>
      <c r="J560" s="13">
        <v>284427</v>
      </c>
      <c r="K560" s="13">
        <v>0</v>
      </c>
      <c r="L560" s="13">
        <v>0</v>
      </c>
    </row>
    <row r="561" spans="2:12" ht="15.75" thickBot="1" x14ac:dyDescent="0.3">
      <c r="B561" s="43">
        <f t="shared" si="196"/>
        <v>553</v>
      </c>
      <c r="C561" s="32">
        <v>6</v>
      </c>
      <c r="D561" s="32"/>
      <c r="E561" s="32"/>
      <c r="F561" s="32"/>
      <c r="G561" s="3" t="s">
        <v>184</v>
      </c>
      <c r="H561" s="4">
        <f>H562</f>
        <v>0</v>
      </c>
      <c r="I561" s="4">
        <f t="shared" ref="I561:L561" si="202">I562</f>
        <v>11000</v>
      </c>
      <c r="J561" s="4">
        <f t="shared" si="202"/>
        <v>895</v>
      </c>
      <c r="K561" s="4">
        <f t="shared" si="202"/>
        <v>10705</v>
      </c>
      <c r="L561" s="4">
        <f t="shared" si="202"/>
        <v>11641</v>
      </c>
    </row>
    <row r="562" spans="2:12" x14ac:dyDescent="0.25">
      <c r="B562" s="43">
        <f t="shared" si="196"/>
        <v>554</v>
      </c>
      <c r="C562" s="33">
        <v>310</v>
      </c>
      <c r="D562" s="33"/>
      <c r="E562" s="33"/>
      <c r="F562" s="33"/>
      <c r="G562" s="5" t="s">
        <v>194</v>
      </c>
      <c r="H562" s="6">
        <f>H565</f>
        <v>0</v>
      </c>
      <c r="I562" s="6">
        <f>I565</f>
        <v>11000</v>
      </c>
      <c r="J562" s="6">
        <f>J563</f>
        <v>895</v>
      </c>
      <c r="K562" s="6">
        <f>K565</f>
        <v>10705</v>
      </c>
      <c r="L562" s="6">
        <f>L565</f>
        <v>11641</v>
      </c>
    </row>
    <row r="563" spans="2:12" x14ac:dyDescent="0.25">
      <c r="B563" s="43"/>
      <c r="C563" s="37"/>
      <c r="D563" s="35">
        <v>311</v>
      </c>
      <c r="E563" s="35"/>
      <c r="F563" s="35"/>
      <c r="G563" s="9" t="s">
        <v>195</v>
      </c>
      <c r="H563" s="10"/>
      <c r="I563" s="10"/>
      <c r="J563" s="10">
        <f>J564</f>
        <v>895</v>
      </c>
      <c r="K563" s="10"/>
      <c r="L563" s="10"/>
    </row>
    <row r="564" spans="2:12" x14ac:dyDescent="0.25">
      <c r="B564" s="43"/>
      <c r="C564" s="37"/>
      <c r="D564" s="36"/>
      <c r="E564" s="36">
        <v>311</v>
      </c>
      <c r="F564" s="36"/>
      <c r="G564" s="12" t="s">
        <v>195</v>
      </c>
      <c r="H564" s="13"/>
      <c r="I564" s="13"/>
      <c r="J564" s="13">
        <v>895</v>
      </c>
      <c r="K564" s="13"/>
      <c r="L564" s="13"/>
    </row>
    <row r="565" spans="2:12" x14ac:dyDescent="0.25">
      <c r="B565" s="43">
        <f>B562+1</f>
        <v>555</v>
      </c>
      <c r="C565" s="34"/>
      <c r="D565" s="34">
        <v>312</v>
      </c>
      <c r="E565" s="34"/>
      <c r="F565" s="34"/>
      <c r="G565" s="7" t="s">
        <v>197</v>
      </c>
      <c r="H565" s="8">
        <f t="shared" ref="H565:L565" si="203">H566</f>
        <v>0</v>
      </c>
      <c r="I565" s="8">
        <f t="shared" si="203"/>
        <v>11000</v>
      </c>
      <c r="J565" s="8">
        <f t="shared" si="203"/>
        <v>0</v>
      </c>
      <c r="K565" s="8">
        <f t="shared" si="203"/>
        <v>10705</v>
      </c>
      <c r="L565" s="8">
        <f t="shared" si="203"/>
        <v>11641</v>
      </c>
    </row>
    <row r="566" spans="2:12" ht="15.75" thickBot="1" x14ac:dyDescent="0.3">
      <c r="B566" s="43">
        <f>B565+1</f>
        <v>556</v>
      </c>
      <c r="C566" s="35"/>
      <c r="D566" s="35"/>
      <c r="E566" s="35">
        <v>312007</v>
      </c>
      <c r="F566" s="35"/>
      <c r="G566" s="9" t="s">
        <v>241</v>
      </c>
      <c r="H566" s="10">
        <v>0</v>
      </c>
      <c r="I566" s="10">
        <v>11000</v>
      </c>
      <c r="J566" s="10"/>
      <c r="K566" s="10">
        <v>10705</v>
      </c>
      <c r="L566" s="10">
        <v>11641</v>
      </c>
    </row>
    <row r="567" spans="2:12" ht="15.75" thickBot="1" x14ac:dyDescent="0.3">
      <c r="B567" s="43">
        <f t="shared" si="196"/>
        <v>557</v>
      </c>
      <c r="C567" s="32">
        <v>7</v>
      </c>
      <c r="D567" s="32"/>
      <c r="E567" s="32"/>
      <c r="F567" s="32"/>
      <c r="G567" s="3" t="s">
        <v>185</v>
      </c>
      <c r="H567" s="4">
        <f>H568</f>
        <v>0</v>
      </c>
      <c r="I567" s="4">
        <f t="shared" ref="I567:L567" si="204">I568</f>
        <v>12000</v>
      </c>
      <c r="J567" s="4">
        <f t="shared" si="204"/>
        <v>945</v>
      </c>
      <c r="K567" s="4">
        <f t="shared" si="204"/>
        <v>7174</v>
      </c>
      <c r="L567" s="4">
        <f t="shared" si="204"/>
        <v>7052</v>
      </c>
    </row>
    <row r="568" spans="2:12" x14ac:dyDescent="0.25">
      <c r="B568" s="43">
        <f t="shared" si="196"/>
        <v>558</v>
      </c>
      <c r="C568" s="33">
        <v>310</v>
      </c>
      <c r="D568" s="33"/>
      <c r="E568" s="33"/>
      <c r="F568" s="33"/>
      <c r="G568" s="5" t="s">
        <v>194</v>
      </c>
      <c r="H568" s="6">
        <f>H569+H571</f>
        <v>0</v>
      </c>
      <c r="I568" s="6">
        <f t="shared" ref="I568:L568" si="205">I571+I569</f>
        <v>12000</v>
      </c>
      <c r="J568" s="6">
        <f t="shared" si="205"/>
        <v>945</v>
      </c>
      <c r="K568" s="6">
        <f t="shared" si="205"/>
        <v>7174</v>
      </c>
      <c r="L568" s="6">
        <f t="shared" si="205"/>
        <v>7052</v>
      </c>
    </row>
    <row r="569" spans="2:12" x14ac:dyDescent="0.25">
      <c r="B569" s="43">
        <f t="shared" si="196"/>
        <v>559</v>
      </c>
      <c r="C569" s="34"/>
      <c r="D569" s="34">
        <v>311</v>
      </c>
      <c r="E569" s="34"/>
      <c r="F569" s="34"/>
      <c r="G569" s="7" t="s">
        <v>195</v>
      </c>
      <c r="H569" s="8">
        <f>H570</f>
        <v>0</v>
      </c>
      <c r="I569" s="8">
        <f t="shared" ref="I569:L569" si="206">I570</f>
        <v>0</v>
      </c>
      <c r="J569" s="8">
        <f t="shared" si="206"/>
        <v>945</v>
      </c>
      <c r="K569" s="8">
        <f t="shared" si="206"/>
        <v>400</v>
      </c>
      <c r="L569" s="8">
        <f t="shared" si="206"/>
        <v>0</v>
      </c>
    </row>
    <row r="570" spans="2:12" x14ac:dyDescent="0.25">
      <c r="B570" s="43">
        <f t="shared" si="196"/>
        <v>560</v>
      </c>
      <c r="C570" s="35"/>
      <c r="D570" s="35"/>
      <c r="E570" s="35">
        <v>311</v>
      </c>
      <c r="F570" s="35"/>
      <c r="G570" s="9" t="s">
        <v>195</v>
      </c>
      <c r="H570" s="10">
        <v>0</v>
      </c>
      <c r="I570" s="10">
        <v>0</v>
      </c>
      <c r="J570" s="10">
        <v>945</v>
      </c>
      <c r="K570" s="10">
        <f>400</f>
        <v>400</v>
      </c>
      <c r="L570" s="10">
        <v>0</v>
      </c>
    </row>
    <row r="571" spans="2:12" x14ac:dyDescent="0.25">
      <c r="B571" s="43">
        <f t="shared" si="196"/>
        <v>561</v>
      </c>
      <c r="C571" s="34"/>
      <c r="D571" s="34">
        <v>312</v>
      </c>
      <c r="E571" s="34"/>
      <c r="F571" s="34"/>
      <c r="G571" s="7" t="s">
        <v>197</v>
      </c>
      <c r="H571" s="8">
        <f>H572</f>
        <v>0</v>
      </c>
      <c r="I571" s="8">
        <f t="shared" ref="I571:L571" si="207">I572</f>
        <v>12000</v>
      </c>
      <c r="J571" s="8">
        <f t="shared" si="207"/>
        <v>0</v>
      </c>
      <c r="K571" s="8">
        <f t="shared" si="207"/>
        <v>6774</v>
      </c>
      <c r="L571" s="8">
        <f t="shared" si="207"/>
        <v>7052</v>
      </c>
    </row>
    <row r="572" spans="2:12" x14ac:dyDescent="0.25">
      <c r="B572" s="43">
        <f t="shared" si="196"/>
        <v>562</v>
      </c>
      <c r="C572" s="35"/>
      <c r="D572" s="35"/>
      <c r="E572" s="35">
        <v>312007</v>
      </c>
      <c r="F572" s="35"/>
      <c r="G572" s="9" t="s">
        <v>241</v>
      </c>
      <c r="H572" s="10">
        <f>H573+H574</f>
        <v>0</v>
      </c>
      <c r="I572" s="10">
        <f t="shared" ref="I572:L572" si="208">I574+I573</f>
        <v>12000</v>
      </c>
      <c r="J572" s="10">
        <f t="shared" si="208"/>
        <v>0</v>
      </c>
      <c r="K572" s="10">
        <f t="shared" si="208"/>
        <v>6774</v>
      </c>
      <c r="L572" s="10">
        <f t="shared" si="208"/>
        <v>7052</v>
      </c>
    </row>
    <row r="573" spans="2:12" x14ac:dyDescent="0.25">
      <c r="B573" s="43">
        <f t="shared" si="196"/>
        <v>563</v>
      </c>
      <c r="C573" s="36"/>
      <c r="D573" s="36"/>
      <c r="E573" s="36"/>
      <c r="F573" s="36">
        <v>8</v>
      </c>
      <c r="G573" s="12" t="s">
        <v>264</v>
      </c>
      <c r="H573" s="13">
        <v>0</v>
      </c>
      <c r="I573" s="13">
        <v>6000</v>
      </c>
      <c r="J573" s="13"/>
      <c r="K573" s="13"/>
      <c r="L573" s="13">
        <v>0</v>
      </c>
    </row>
    <row r="574" spans="2:12" ht="15.75" thickBot="1" x14ac:dyDescent="0.3">
      <c r="B574" s="43">
        <f t="shared" si="196"/>
        <v>564</v>
      </c>
      <c r="C574" s="36"/>
      <c r="D574" s="36"/>
      <c r="E574" s="36"/>
      <c r="F574" s="36" t="s">
        <v>60</v>
      </c>
      <c r="G574" s="12" t="s">
        <v>265</v>
      </c>
      <c r="H574" s="13">
        <v>0</v>
      </c>
      <c r="I574" s="13">
        <v>6000</v>
      </c>
      <c r="J574" s="13"/>
      <c r="K574" s="13">
        <v>6774</v>
      </c>
      <c r="L574" s="13">
        <v>7052</v>
      </c>
    </row>
    <row r="575" spans="2:12" ht="15.75" thickBot="1" x14ac:dyDescent="0.3">
      <c r="B575" s="43">
        <f t="shared" si="196"/>
        <v>565</v>
      </c>
      <c r="C575" s="32">
        <v>12</v>
      </c>
      <c r="D575" s="32"/>
      <c r="E575" s="32"/>
      <c r="F575" s="32"/>
      <c r="G575" s="3" t="s">
        <v>187</v>
      </c>
      <c r="H575" s="4">
        <f>H576</f>
        <v>0</v>
      </c>
      <c r="I575" s="4">
        <f t="shared" ref="I575:L575" si="209">I576</f>
        <v>6000</v>
      </c>
      <c r="J575" s="4">
        <f t="shared" si="209"/>
        <v>1500</v>
      </c>
      <c r="K575" s="4">
        <f t="shared" si="209"/>
        <v>5339</v>
      </c>
      <c r="L575" s="4">
        <f t="shared" si="209"/>
        <v>5400</v>
      </c>
    </row>
    <row r="576" spans="2:12" x14ac:dyDescent="0.25">
      <c r="B576" s="43">
        <f t="shared" si="196"/>
        <v>566</v>
      </c>
      <c r="C576" s="33">
        <v>310</v>
      </c>
      <c r="D576" s="33"/>
      <c r="E576" s="33"/>
      <c r="F576" s="33"/>
      <c r="G576" s="5" t="s">
        <v>194</v>
      </c>
      <c r="H576" s="6">
        <f>H577+H579</f>
        <v>0</v>
      </c>
      <c r="I576" s="6">
        <f>I579</f>
        <v>6000</v>
      </c>
      <c r="J576" s="6">
        <f>J579+J577</f>
        <v>1500</v>
      </c>
      <c r="K576" s="6">
        <f>K579</f>
        <v>5339</v>
      </c>
      <c r="L576" s="6">
        <f>L579</f>
        <v>5400</v>
      </c>
    </row>
    <row r="577" spans="2:12" x14ac:dyDescent="0.25">
      <c r="B577" s="43">
        <f t="shared" si="196"/>
        <v>567</v>
      </c>
      <c r="C577" s="34"/>
      <c r="D577" s="34">
        <v>311</v>
      </c>
      <c r="E577" s="34"/>
      <c r="F577" s="34"/>
      <c r="G577" s="7" t="s">
        <v>195</v>
      </c>
      <c r="H577" s="17">
        <f>H578</f>
        <v>0</v>
      </c>
      <c r="I577" s="17"/>
      <c r="J577" s="17">
        <f>J578</f>
        <v>1500</v>
      </c>
      <c r="K577" s="17"/>
      <c r="L577" s="17"/>
    </row>
    <row r="578" spans="2:12" x14ac:dyDescent="0.25">
      <c r="B578" s="43">
        <f t="shared" si="196"/>
        <v>568</v>
      </c>
      <c r="C578" s="35"/>
      <c r="D578" s="35"/>
      <c r="E578" s="35">
        <v>311</v>
      </c>
      <c r="F578" s="35"/>
      <c r="G578" s="9" t="s">
        <v>195</v>
      </c>
      <c r="H578" s="17">
        <v>0</v>
      </c>
      <c r="I578" s="17"/>
      <c r="J578" s="18">
        <v>1500</v>
      </c>
      <c r="K578" s="17"/>
      <c r="L578" s="17"/>
    </row>
    <row r="579" spans="2:12" x14ac:dyDescent="0.25">
      <c r="B579" s="43">
        <f t="shared" si="196"/>
        <v>569</v>
      </c>
      <c r="C579" s="34"/>
      <c r="D579" s="34">
        <v>312</v>
      </c>
      <c r="E579" s="34"/>
      <c r="F579" s="34"/>
      <c r="G579" s="7" t="s">
        <v>197</v>
      </c>
      <c r="H579" s="8">
        <f>H580</f>
        <v>0</v>
      </c>
      <c r="I579" s="8">
        <f t="shared" ref="I579:L580" si="210">I580</f>
        <v>6000</v>
      </c>
      <c r="J579" s="8">
        <f t="shared" si="210"/>
        <v>0</v>
      </c>
      <c r="K579" s="8">
        <f t="shared" si="210"/>
        <v>5339</v>
      </c>
      <c r="L579" s="8">
        <f t="shared" si="210"/>
        <v>5400</v>
      </c>
    </row>
    <row r="580" spans="2:12" x14ac:dyDescent="0.25">
      <c r="B580" s="43">
        <f t="shared" si="196"/>
        <v>570</v>
      </c>
      <c r="C580" s="35"/>
      <c r="D580" s="35"/>
      <c r="E580" s="35">
        <v>312007</v>
      </c>
      <c r="F580" s="35"/>
      <c r="G580" s="9" t="s">
        <v>241</v>
      </c>
      <c r="H580" s="10">
        <f>H581</f>
        <v>0</v>
      </c>
      <c r="I580" s="10">
        <f t="shared" si="210"/>
        <v>6000</v>
      </c>
      <c r="J580" s="10">
        <f t="shared" si="210"/>
        <v>0</v>
      </c>
      <c r="K580" s="10">
        <f t="shared" si="210"/>
        <v>5339</v>
      </c>
      <c r="L580" s="10">
        <f t="shared" si="210"/>
        <v>5400</v>
      </c>
    </row>
    <row r="581" spans="2:12" ht="15.75" thickBot="1" x14ac:dyDescent="0.3">
      <c r="B581" s="43">
        <f t="shared" si="196"/>
        <v>571</v>
      </c>
      <c r="C581" s="36"/>
      <c r="D581" s="36"/>
      <c r="E581" s="36"/>
      <c r="F581" s="36" t="s">
        <v>60</v>
      </c>
      <c r="G581" s="12" t="s">
        <v>265</v>
      </c>
      <c r="H581" s="13">
        <v>0</v>
      </c>
      <c r="I581" s="13">
        <v>6000</v>
      </c>
      <c r="J581" s="13">
        <v>0</v>
      </c>
      <c r="K581" s="13">
        <v>5339</v>
      </c>
      <c r="L581" s="13">
        <v>5400</v>
      </c>
    </row>
    <row r="582" spans="2:12" ht="15.75" thickBot="1" x14ac:dyDescent="0.3">
      <c r="B582" s="43">
        <f t="shared" si="196"/>
        <v>572</v>
      </c>
      <c r="C582" s="32">
        <v>12</v>
      </c>
      <c r="D582" s="32"/>
      <c r="E582" s="32"/>
      <c r="F582" s="32"/>
      <c r="G582" s="3" t="s">
        <v>188</v>
      </c>
      <c r="H582" s="4">
        <f>H583</f>
        <v>0</v>
      </c>
      <c r="I582" s="4">
        <f t="shared" ref="I582:L582" si="211">I583</f>
        <v>11000</v>
      </c>
      <c r="J582" s="4">
        <f t="shared" si="211"/>
        <v>0</v>
      </c>
      <c r="K582" s="4">
        <f t="shared" si="211"/>
        <v>22077</v>
      </c>
      <c r="L582" s="4">
        <f t="shared" si="211"/>
        <v>30507</v>
      </c>
    </row>
    <row r="583" spans="2:12" x14ac:dyDescent="0.25">
      <c r="B583" s="43">
        <f t="shared" si="196"/>
        <v>573</v>
      </c>
      <c r="C583" s="33">
        <v>310</v>
      </c>
      <c r="D583" s="33"/>
      <c r="E583" s="33"/>
      <c r="F583" s="33"/>
      <c r="G583" s="5" t="s">
        <v>194</v>
      </c>
      <c r="H583" s="6">
        <f>H584+H586</f>
        <v>0</v>
      </c>
      <c r="I583" s="6">
        <f>I586</f>
        <v>11000</v>
      </c>
      <c r="J583" s="6">
        <f>J584</f>
        <v>0</v>
      </c>
      <c r="K583" s="6">
        <f>K586+K584</f>
        <v>22077</v>
      </c>
      <c r="L583" s="6">
        <f>L586</f>
        <v>30507</v>
      </c>
    </row>
    <row r="584" spans="2:12" x14ac:dyDescent="0.25">
      <c r="B584" s="43">
        <f t="shared" si="196"/>
        <v>574</v>
      </c>
      <c r="C584" s="37"/>
      <c r="D584" s="34">
        <v>311</v>
      </c>
      <c r="E584" s="34"/>
      <c r="F584" s="34"/>
      <c r="G584" s="7" t="s">
        <v>195</v>
      </c>
      <c r="H584" s="8">
        <f>H585</f>
        <v>0</v>
      </c>
      <c r="I584" s="8">
        <f t="shared" ref="I584:L584" si="212">I585</f>
        <v>0</v>
      </c>
      <c r="J584" s="8">
        <f t="shared" si="212"/>
        <v>0</v>
      </c>
      <c r="K584" s="8">
        <f t="shared" si="212"/>
        <v>302</v>
      </c>
      <c r="L584" s="8">
        <f t="shared" si="212"/>
        <v>0</v>
      </c>
    </row>
    <row r="585" spans="2:12" x14ac:dyDescent="0.25">
      <c r="B585" s="43">
        <f t="shared" si="196"/>
        <v>575</v>
      </c>
      <c r="C585" s="37"/>
      <c r="D585" s="35"/>
      <c r="E585" s="35">
        <v>311</v>
      </c>
      <c r="F585" s="35"/>
      <c r="G585" s="9" t="s">
        <v>195</v>
      </c>
      <c r="H585" s="10">
        <v>0</v>
      </c>
      <c r="I585" s="10">
        <v>0</v>
      </c>
      <c r="J585" s="10">
        <v>0</v>
      </c>
      <c r="K585" s="10">
        <v>302</v>
      </c>
      <c r="L585" s="10">
        <v>0</v>
      </c>
    </row>
    <row r="586" spans="2:12" x14ac:dyDescent="0.25">
      <c r="B586" s="43">
        <f t="shared" si="196"/>
        <v>576</v>
      </c>
      <c r="C586" s="34"/>
      <c r="D586" s="34">
        <v>312</v>
      </c>
      <c r="E586" s="34"/>
      <c r="F586" s="34"/>
      <c r="G586" s="7" t="s">
        <v>197</v>
      </c>
      <c r="H586" s="8">
        <f>H587</f>
        <v>0</v>
      </c>
      <c r="I586" s="8">
        <f t="shared" ref="I586:L587" si="213">I587</f>
        <v>11000</v>
      </c>
      <c r="J586" s="8">
        <f t="shared" si="213"/>
        <v>0</v>
      </c>
      <c r="K586" s="8">
        <f t="shared" si="213"/>
        <v>21775</v>
      </c>
      <c r="L586" s="8">
        <f t="shared" si="213"/>
        <v>30507</v>
      </c>
    </row>
    <row r="587" spans="2:12" x14ac:dyDescent="0.25">
      <c r="B587" s="43">
        <f t="shared" si="196"/>
        <v>577</v>
      </c>
      <c r="C587" s="35"/>
      <c r="D587" s="35"/>
      <c r="E587" s="35">
        <v>312007</v>
      </c>
      <c r="F587" s="35"/>
      <c r="G587" s="9" t="s">
        <v>241</v>
      </c>
      <c r="H587" s="10">
        <f>H588</f>
        <v>0</v>
      </c>
      <c r="I587" s="10">
        <f t="shared" si="213"/>
        <v>11000</v>
      </c>
      <c r="J587" s="10">
        <f t="shared" si="213"/>
        <v>0</v>
      </c>
      <c r="K587" s="10">
        <f t="shared" si="213"/>
        <v>21775</v>
      </c>
      <c r="L587" s="10">
        <f t="shared" si="213"/>
        <v>30507</v>
      </c>
    </row>
    <row r="588" spans="2:12" ht="15.75" thickBot="1" x14ac:dyDescent="0.3">
      <c r="B588" s="43">
        <f t="shared" si="196"/>
        <v>578</v>
      </c>
      <c r="C588" s="36"/>
      <c r="D588" s="36"/>
      <c r="E588" s="36"/>
      <c r="F588" s="36" t="s">
        <v>60</v>
      </c>
      <c r="G588" s="12" t="s">
        <v>265</v>
      </c>
      <c r="H588" s="13">
        <v>0</v>
      </c>
      <c r="I588" s="13">
        <v>11000</v>
      </c>
      <c r="J588" s="13"/>
      <c r="K588" s="13">
        <v>21775</v>
      </c>
      <c r="L588" s="13">
        <v>30507</v>
      </c>
    </row>
    <row r="589" spans="2:12" ht="17.25" customHeight="1" thickBot="1" x14ac:dyDescent="0.3">
      <c r="B589" s="43">
        <f t="shared" si="196"/>
        <v>579</v>
      </c>
      <c r="C589" s="32">
        <v>11</v>
      </c>
      <c r="D589" s="32"/>
      <c r="E589" s="32"/>
      <c r="F589" s="32"/>
      <c r="G589" s="3" t="s">
        <v>189</v>
      </c>
      <c r="H589" s="4">
        <f>H590</f>
        <v>0</v>
      </c>
      <c r="I589" s="4">
        <f t="shared" ref="I589:L589" si="214">I590</f>
        <v>14645</v>
      </c>
      <c r="J589" s="4">
        <f t="shared" si="214"/>
        <v>0</v>
      </c>
      <c r="K589" s="4">
        <f t="shared" si="214"/>
        <v>17624</v>
      </c>
      <c r="L589" s="4">
        <f t="shared" si="214"/>
        <v>21190</v>
      </c>
    </row>
    <row r="590" spans="2:12" x14ac:dyDescent="0.25">
      <c r="B590" s="43">
        <f t="shared" si="196"/>
        <v>580</v>
      </c>
      <c r="C590" s="33">
        <v>310</v>
      </c>
      <c r="D590" s="33"/>
      <c r="E590" s="33"/>
      <c r="F590" s="33"/>
      <c r="G590" s="5" t="s">
        <v>194</v>
      </c>
      <c r="H590" s="6">
        <f>H591+H593</f>
        <v>0</v>
      </c>
      <c r="I590" s="6">
        <f t="shared" ref="I590:L590" si="215">I593+I591</f>
        <v>14645</v>
      </c>
      <c r="J590" s="6">
        <f t="shared" si="215"/>
        <v>0</v>
      </c>
      <c r="K590" s="6">
        <f t="shared" si="215"/>
        <v>17624</v>
      </c>
      <c r="L590" s="6">
        <f t="shared" si="215"/>
        <v>21190</v>
      </c>
    </row>
    <row r="591" spans="2:12" x14ac:dyDescent="0.25">
      <c r="B591" s="43">
        <f t="shared" si="196"/>
        <v>581</v>
      </c>
      <c r="C591" s="34"/>
      <c r="D591" s="34">
        <v>311</v>
      </c>
      <c r="E591" s="34"/>
      <c r="F591" s="34"/>
      <c r="G591" s="7" t="s">
        <v>195</v>
      </c>
      <c r="H591" s="8">
        <f>H592</f>
        <v>0</v>
      </c>
      <c r="I591" s="8">
        <f t="shared" ref="I591:L591" si="216">I592</f>
        <v>0</v>
      </c>
      <c r="J591" s="8">
        <f t="shared" si="216"/>
        <v>0</v>
      </c>
      <c r="K591" s="8">
        <f t="shared" si="216"/>
        <v>0</v>
      </c>
      <c r="L591" s="8">
        <f t="shared" si="216"/>
        <v>0</v>
      </c>
    </row>
    <row r="592" spans="2:12" x14ac:dyDescent="0.25">
      <c r="B592" s="43">
        <f t="shared" si="196"/>
        <v>582</v>
      </c>
      <c r="C592" s="35"/>
      <c r="D592" s="35"/>
      <c r="E592" s="35">
        <v>311</v>
      </c>
      <c r="F592" s="35"/>
      <c r="G592" s="9" t="s">
        <v>195</v>
      </c>
      <c r="H592" s="10">
        <v>0</v>
      </c>
      <c r="I592" s="10">
        <v>0</v>
      </c>
      <c r="J592" s="10"/>
      <c r="K592" s="10">
        <v>0</v>
      </c>
      <c r="L592" s="10">
        <v>0</v>
      </c>
    </row>
    <row r="593" spans="2:12" x14ac:dyDescent="0.25">
      <c r="B593" s="43">
        <f t="shared" si="196"/>
        <v>583</v>
      </c>
      <c r="C593" s="34"/>
      <c r="D593" s="34">
        <v>312</v>
      </c>
      <c r="E593" s="34"/>
      <c r="F593" s="34"/>
      <c r="G593" s="7" t="s">
        <v>197</v>
      </c>
      <c r="H593" s="8">
        <f>H594</f>
        <v>0</v>
      </c>
      <c r="I593" s="8">
        <f t="shared" ref="I593:L594" si="217">I594</f>
        <v>14645</v>
      </c>
      <c r="J593" s="8">
        <f t="shared" si="217"/>
        <v>0</v>
      </c>
      <c r="K593" s="8">
        <f t="shared" si="217"/>
        <v>17624</v>
      </c>
      <c r="L593" s="8">
        <f t="shared" si="217"/>
        <v>21190</v>
      </c>
    </row>
    <row r="594" spans="2:12" x14ac:dyDescent="0.25">
      <c r="B594" s="43">
        <f t="shared" si="196"/>
        <v>584</v>
      </c>
      <c r="C594" s="35"/>
      <c r="D594" s="35"/>
      <c r="E594" s="35">
        <v>312007</v>
      </c>
      <c r="F594" s="35"/>
      <c r="G594" s="9" t="s">
        <v>241</v>
      </c>
      <c r="H594" s="10">
        <f>H595</f>
        <v>0</v>
      </c>
      <c r="I594" s="10">
        <f t="shared" si="217"/>
        <v>14645</v>
      </c>
      <c r="J594" s="10">
        <f t="shared" si="217"/>
        <v>0</v>
      </c>
      <c r="K594" s="10">
        <f t="shared" si="217"/>
        <v>17624</v>
      </c>
      <c r="L594" s="10">
        <f t="shared" si="217"/>
        <v>21190</v>
      </c>
    </row>
    <row r="595" spans="2:12" ht="15.75" thickBot="1" x14ac:dyDescent="0.3">
      <c r="B595" s="43">
        <f t="shared" si="196"/>
        <v>585</v>
      </c>
      <c r="C595" s="36"/>
      <c r="D595" s="36"/>
      <c r="E595" s="36"/>
      <c r="F595" s="36" t="s">
        <v>60</v>
      </c>
      <c r="G595" s="12" t="s">
        <v>266</v>
      </c>
      <c r="H595" s="13">
        <v>0</v>
      </c>
      <c r="I595" s="13">
        <v>14645</v>
      </c>
      <c r="J595" s="13">
        <v>0</v>
      </c>
      <c r="K595" s="13">
        <v>17624</v>
      </c>
      <c r="L595" s="13">
        <v>21190</v>
      </c>
    </row>
    <row r="596" spans="2:12" ht="15.75" thickBot="1" x14ac:dyDescent="0.3">
      <c r="B596" s="43">
        <f t="shared" si="196"/>
        <v>586</v>
      </c>
      <c r="C596" s="32">
        <v>12</v>
      </c>
      <c r="D596" s="32"/>
      <c r="E596" s="32"/>
      <c r="F596" s="32"/>
      <c r="G596" s="3" t="s">
        <v>190</v>
      </c>
      <c r="H596" s="4">
        <f>H597</f>
        <v>0</v>
      </c>
      <c r="I596" s="4">
        <f t="shared" ref="I596:L599" si="218">I597</f>
        <v>8200</v>
      </c>
      <c r="J596" s="4">
        <f t="shared" si="218"/>
        <v>0</v>
      </c>
      <c r="K596" s="4">
        <f t="shared" si="218"/>
        <v>10892.34</v>
      </c>
      <c r="L596" s="4">
        <f t="shared" si="218"/>
        <v>7948</v>
      </c>
    </row>
    <row r="597" spans="2:12" x14ac:dyDescent="0.25">
      <c r="B597" s="43">
        <f t="shared" si="196"/>
        <v>587</v>
      </c>
      <c r="C597" s="33">
        <v>310</v>
      </c>
      <c r="D597" s="33"/>
      <c r="E597" s="33"/>
      <c r="F597" s="33"/>
      <c r="G597" s="5" t="s">
        <v>194</v>
      </c>
      <c r="H597" s="6">
        <f>H598</f>
        <v>0</v>
      </c>
      <c r="I597" s="6">
        <f t="shared" si="218"/>
        <v>8200</v>
      </c>
      <c r="J597" s="6">
        <f t="shared" si="218"/>
        <v>0</v>
      </c>
      <c r="K597" s="6">
        <f t="shared" si="218"/>
        <v>10892.34</v>
      </c>
      <c r="L597" s="6">
        <f t="shared" si="218"/>
        <v>7948</v>
      </c>
    </row>
    <row r="598" spans="2:12" x14ac:dyDescent="0.25">
      <c r="B598" s="43">
        <f t="shared" si="196"/>
        <v>588</v>
      </c>
      <c r="C598" s="34"/>
      <c r="D598" s="34">
        <v>312</v>
      </c>
      <c r="E598" s="34"/>
      <c r="F598" s="34"/>
      <c r="G598" s="7" t="s">
        <v>197</v>
      </c>
      <c r="H598" s="8">
        <f>H599</f>
        <v>0</v>
      </c>
      <c r="I598" s="8">
        <f t="shared" si="218"/>
        <v>8200</v>
      </c>
      <c r="J598" s="8">
        <f t="shared" si="218"/>
        <v>0</v>
      </c>
      <c r="K598" s="8">
        <f t="shared" si="218"/>
        <v>10892.34</v>
      </c>
      <c r="L598" s="8">
        <f t="shared" si="218"/>
        <v>7948</v>
      </c>
    </row>
    <row r="599" spans="2:12" x14ac:dyDescent="0.25">
      <c r="B599" s="43">
        <f t="shared" si="196"/>
        <v>589</v>
      </c>
      <c r="C599" s="35"/>
      <c r="D599" s="35"/>
      <c r="E599" s="35">
        <v>312007</v>
      </c>
      <c r="F599" s="35"/>
      <c r="G599" s="9" t="s">
        <v>241</v>
      </c>
      <c r="H599" s="10">
        <f>H600</f>
        <v>0</v>
      </c>
      <c r="I599" s="10">
        <f t="shared" si="218"/>
        <v>8200</v>
      </c>
      <c r="J599" s="10">
        <f t="shared" si="218"/>
        <v>0</v>
      </c>
      <c r="K599" s="10">
        <f t="shared" si="218"/>
        <v>10892.34</v>
      </c>
      <c r="L599" s="10">
        <f t="shared" si="218"/>
        <v>7948</v>
      </c>
    </row>
    <row r="600" spans="2:12" ht="15.75" thickBot="1" x14ac:dyDescent="0.3">
      <c r="B600" s="43">
        <f t="shared" si="196"/>
        <v>590</v>
      </c>
      <c r="C600" s="36"/>
      <c r="D600" s="36"/>
      <c r="E600" s="36"/>
      <c r="F600" s="36" t="s">
        <v>60</v>
      </c>
      <c r="G600" s="12" t="s">
        <v>265</v>
      </c>
      <c r="H600" s="13">
        <v>0</v>
      </c>
      <c r="I600" s="13">
        <v>8200</v>
      </c>
      <c r="J600" s="13"/>
      <c r="K600" s="13">
        <f>8013.34+2820+59</f>
        <v>10892.34</v>
      </c>
      <c r="L600" s="13">
        <f>7948</f>
        <v>7948</v>
      </c>
    </row>
    <row r="601" spans="2:12" ht="15.75" thickBot="1" x14ac:dyDescent="0.3">
      <c r="B601" s="43">
        <f t="shared" si="196"/>
        <v>591</v>
      </c>
      <c r="C601" s="32">
        <v>13</v>
      </c>
      <c r="D601" s="32"/>
      <c r="E601" s="32"/>
      <c r="F601" s="32"/>
      <c r="G601" s="3" t="s">
        <v>191</v>
      </c>
      <c r="H601" s="4">
        <f>H602</f>
        <v>0</v>
      </c>
      <c r="I601" s="4">
        <f t="shared" ref="I601:L603" si="219">I602</f>
        <v>8300</v>
      </c>
      <c r="J601" s="4">
        <f t="shared" si="219"/>
        <v>838</v>
      </c>
      <c r="K601" s="4">
        <f t="shared" si="219"/>
        <v>8745</v>
      </c>
      <c r="L601" s="4">
        <f t="shared" si="219"/>
        <v>8727</v>
      </c>
    </row>
    <row r="602" spans="2:12" x14ac:dyDescent="0.25">
      <c r="B602" s="43">
        <f t="shared" si="196"/>
        <v>592</v>
      </c>
      <c r="C602" s="33">
        <v>310</v>
      </c>
      <c r="D602" s="33"/>
      <c r="E602" s="33"/>
      <c r="F602" s="33"/>
      <c r="G602" s="5" t="s">
        <v>194</v>
      </c>
      <c r="H602" s="6">
        <f>H603</f>
        <v>0</v>
      </c>
      <c r="I602" s="6">
        <f t="shared" si="219"/>
        <v>8300</v>
      </c>
      <c r="J602" s="6">
        <f t="shared" si="219"/>
        <v>838</v>
      </c>
      <c r="K602" s="6">
        <f t="shared" si="219"/>
        <v>8745</v>
      </c>
      <c r="L602" s="6">
        <f t="shared" si="219"/>
        <v>8727</v>
      </c>
    </row>
    <row r="603" spans="2:12" x14ac:dyDescent="0.25">
      <c r="B603" s="43">
        <f t="shared" si="196"/>
        <v>593</v>
      </c>
      <c r="C603" s="34"/>
      <c r="D603" s="34">
        <v>312</v>
      </c>
      <c r="E603" s="34"/>
      <c r="F603" s="34"/>
      <c r="G603" s="7" t="s">
        <v>195</v>
      </c>
      <c r="H603" s="8">
        <f>H604</f>
        <v>0</v>
      </c>
      <c r="I603" s="8">
        <f t="shared" si="219"/>
        <v>8300</v>
      </c>
      <c r="J603" s="8">
        <f t="shared" si="219"/>
        <v>838</v>
      </c>
      <c r="K603" s="8">
        <f t="shared" si="219"/>
        <v>8745</v>
      </c>
      <c r="L603" s="8">
        <f t="shared" si="219"/>
        <v>8727</v>
      </c>
    </row>
    <row r="604" spans="2:12" x14ac:dyDescent="0.25">
      <c r="B604" s="43">
        <f t="shared" ref="B604:B606" si="220">B603+1</f>
        <v>594</v>
      </c>
      <c r="C604" s="35"/>
      <c r="D604" s="35"/>
      <c r="E604" s="35">
        <v>312007</v>
      </c>
      <c r="F604" s="35"/>
      <c r="G604" s="9" t="s">
        <v>241</v>
      </c>
      <c r="H604" s="10">
        <f>H605</f>
        <v>0</v>
      </c>
      <c r="I604" s="10">
        <f>I605</f>
        <v>8300</v>
      </c>
      <c r="J604" s="10">
        <v>838</v>
      </c>
      <c r="K604" s="10">
        <f>K605</f>
        <v>8745</v>
      </c>
      <c r="L604" s="10">
        <v>8727</v>
      </c>
    </row>
    <row r="605" spans="2:12" x14ac:dyDescent="0.25">
      <c r="B605" s="43">
        <f t="shared" si="220"/>
        <v>595</v>
      </c>
      <c r="C605" s="38"/>
      <c r="D605" s="38"/>
      <c r="E605" s="38"/>
      <c r="F605" s="38"/>
      <c r="G605" s="12" t="s">
        <v>265</v>
      </c>
      <c r="H605" s="19">
        <v>0</v>
      </c>
      <c r="I605" s="19">
        <v>8300</v>
      </c>
      <c r="J605" s="19"/>
      <c r="K605" s="19">
        <f>8439+306</f>
        <v>8745</v>
      </c>
      <c r="L605" s="19">
        <v>8727</v>
      </c>
    </row>
    <row r="606" spans="2:12" x14ac:dyDescent="0.25">
      <c r="B606" s="43">
        <f t="shared" si="220"/>
        <v>596</v>
      </c>
      <c r="C606" s="39"/>
      <c r="D606" s="39"/>
      <c r="E606" s="39"/>
      <c r="F606" s="39"/>
      <c r="G606" s="20" t="s">
        <v>267</v>
      </c>
      <c r="H606" s="21">
        <f>H505+H24+H8</f>
        <v>38608366</v>
      </c>
      <c r="I606" s="21">
        <f>I505+I24+I8</f>
        <v>33884000</v>
      </c>
      <c r="J606" s="21">
        <f>J505+J24+J8</f>
        <v>34783503</v>
      </c>
      <c r="K606" s="21">
        <f>K505+K24+K8</f>
        <v>34189885.589999996</v>
      </c>
      <c r="L606" s="21">
        <f>L505+L24+L8</f>
        <v>31923374</v>
      </c>
    </row>
    <row r="608" spans="2:12" ht="12" customHeight="1" x14ac:dyDescent="0.25">
      <c r="B608" s="262" t="s">
        <v>268</v>
      </c>
      <c r="C608" s="263"/>
      <c r="D608" s="263"/>
      <c r="E608" s="263"/>
      <c r="F608" s="263"/>
      <c r="G608" s="264"/>
      <c r="H608" s="268" t="s">
        <v>934</v>
      </c>
      <c r="I608" s="271" t="s">
        <v>1</v>
      </c>
      <c r="J608" s="271" t="s">
        <v>2</v>
      </c>
      <c r="K608" s="251" t="s">
        <v>3</v>
      </c>
      <c r="L608" s="251" t="s">
        <v>4</v>
      </c>
    </row>
    <row r="609" spans="2:12" ht="9" customHeight="1" x14ac:dyDescent="0.25">
      <c r="B609" s="265"/>
      <c r="C609" s="266"/>
      <c r="D609" s="266"/>
      <c r="E609" s="266"/>
      <c r="F609" s="266"/>
      <c r="G609" s="267"/>
      <c r="H609" s="269"/>
      <c r="I609" s="272"/>
      <c r="J609" s="272"/>
      <c r="K609" s="252"/>
      <c r="L609" s="252"/>
    </row>
    <row r="610" spans="2:12" x14ac:dyDescent="0.25">
      <c r="B610" s="254" t="s">
        <v>5</v>
      </c>
      <c r="C610" s="274" t="s">
        <v>6</v>
      </c>
      <c r="D610" s="276" t="s">
        <v>7</v>
      </c>
      <c r="E610" s="276" t="s">
        <v>8</v>
      </c>
      <c r="F610" s="276" t="s">
        <v>9</v>
      </c>
      <c r="G610" s="260" t="s">
        <v>10</v>
      </c>
      <c r="H610" s="269"/>
      <c r="I610" s="272"/>
      <c r="J610" s="272"/>
      <c r="K610" s="252"/>
      <c r="L610" s="252"/>
    </row>
    <row r="611" spans="2:12" ht="8.25" customHeight="1" thickBot="1" x14ac:dyDescent="0.3">
      <c r="B611" s="255"/>
      <c r="C611" s="275"/>
      <c r="D611" s="277"/>
      <c r="E611" s="277"/>
      <c r="F611" s="277"/>
      <c r="G611" s="261"/>
      <c r="H611" s="270"/>
      <c r="I611" s="273"/>
      <c r="J611" s="273"/>
      <c r="K611" s="253"/>
      <c r="L611" s="253"/>
    </row>
    <row r="612" spans="2:12" ht="17.25" thickTop="1" thickBot="1" x14ac:dyDescent="0.3">
      <c r="B612" s="116">
        <v>1</v>
      </c>
      <c r="C612" s="31">
        <v>200</v>
      </c>
      <c r="D612" s="31"/>
      <c r="E612" s="31"/>
      <c r="F612" s="31"/>
      <c r="G612" s="1" t="s">
        <v>27</v>
      </c>
      <c r="H612" s="2">
        <f>H613</f>
        <v>200000</v>
      </c>
      <c r="I612" s="2">
        <f t="shared" ref="I612:L613" si="221">I613</f>
        <v>560000</v>
      </c>
      <c r="J612" s="2">
        <f t="shared" si="221"/>
        <v>738837</v>
      </c>
      <c r="K612" s="2">
        <f t="shared" si="221"/>
        <v>1612028.74</v>
      </c>
      <c r="L612" s="2">
        <f t="shared" si="221"/>
        <v>1903753.88</v>
      </c>
    </row>
    <row r="613" spans="2:12" ht="15.75" thickBot="1" x14ac:dyDescent="0.3">
      <c r="B613" s="117">
        <v>2</v>
      </c>
      <c r="C613" s="32"/>
      <c r="D613" s="32"/>
      <c r="E613" s="32"/>
      <c r="F613" s="32"/>
      <c r="G613" s="3" t="s">
        <v>12</v>
      </c>
      <c r="H613" s="4">
        <f>H614</f>
        <v>200000</v>
      </c>
      <c r="I613" s="4">
        <f t="shared" si="221"/>
        <v>560000</v>
      </c>
      <c r="J613" s="4">
        <f t="shared" si="221"/>
        <v>738837</v>
      </c>
      <c r="K613" s="4">
        <f t="shared" si="221"/>
        <v>1612028.74</v>
      </c>
      <c r="L613" s="4">
        <f t="shared" si="221"/>
        <v>1903753.88</v>
      </c>
    </row>
    <row r="614" spans="2:12" x14ac:dyDescent="0.25">
      <c r="B614" s="43">
        <v>3</v>
      </c>
      <c r="C614" s="33">
        <v>230</v>
      </c>
      <c r="D614" s="33"/>
      <c r="E614" s="33"/>
      <c r="F614" s="33"/>
      <c r="G614" s="5" t="s">
        <v>268</v>
      </c>
      <c r="H614" s="6">
        <f>H615+H617</f>
        <v>200000</v>
      </c>
      <c r="I614" s="6">
        <f t="shared" ref="I614:L614" si="222">I617+I615</f>
        <v>560000</v>
      </c>
      <c r="J614" s="6">
        <f t="shared" si="222"/>
        <v>738837</v>
      </c>
      <c r="K614" s="6">
        <f t="shared" si="222"/>
        <v>1612028.74</v>
      </c>
      <c r="L614" s="6">
        <f t="shared" si="222"/>
        <v>1903753.88</v>
      </c>
    </row>
    <row r="615" spans="2:12" x14ac:dyDescent="0.25">
      <c r="B615" s="43">
        <v>4</v>
      </c>
      <c r="C615" s="34"/>
      <c r="D615" s="34">
        <v>231</v>
      </c>
      <c r="E615" s="34"/>
      <c r="F615" s="34"/>
      <c r="G615" s="7" t="s">
        <v>269</v>
      </c>
      <c r="H615" s="8">
        <f>H616</f>
        <v>200000</v>
      </c>
      <c r="I615" s="8">
        <f t="shared" ref="I615:L615" si="223">I616</f>
        <v>0</v>
      </c>
      <c r="J615" s="8">
        <f t="shared" si="223"/>
        <v>10920</v>
      </c>
      <c r="K615" s="8">
        <f t="shared" si="223"/>
        <v>53534.98</v>
      </c>
      <c r="L615" s="8">
        <f t="shared" si="223"/>
        <v>396554.38</v>
      </c>
    </row>
    <row r="616" spans="2:12" x14ac:dyDescent="0.25">
      <c r="B616" s="43">
        <f>B615+1</f>
        <v>5</v>
      </c>
      <c r="C616" s="35"/>
      <c r="D616" s="35"/>
      <c r="E616" s="35">
        <v>231</v>
      </c>
      <c r="F616" s="35"/>
      <c r="G616" s="9" t="s">
        <v>269</v>
      </c>
      <c r="H616" s="10">
        <v>200000</v>
      </c>
      <c r="I616" s="10">
        <v>0</v>
      </c>
      <c r="J616" s="10">
        <v>10920</v>
      </c>
      <c r="K616" s="10">
        <v>53534.98</v>
      </c>
      <c r="L616" s="10">
        <v>396554.38</v>
      </c>
    </row>
    <row r="617" spans="2:12" x14ac:dyDescent="0.25">
      <c r="B617" s="43">
        <v>5</v>
      </c>
      <c r="C617" s="34"/>
      <c r="D617" s="34">
        <v>233</v>
      </c>
      <c r="E617" s="34"/>
      <c r="F617" s="34"/>
      <c r="G617" s="7" t="s">
        <v>270</v>
      </c>
      <c r="H617" s="8">
        <f>H618</f>
        <v>0</v>
      </c>
      <c r="I617" s="8">
        <f t="shared" ref="I617:L617" si="224">I618</f>
        <v>560000</v>
      </c>
      <c r="J617" s="8">
        <f t="shared" si="224"/>
        <v>727917</v>
      </c>
      <c r="K617" s="8">
        <f t="shared" si="224"/>
        <v>1558493.76</v>
      </c>
      <c r="L617" s="8">
        <f t="shared" si="224"/>
        <v>1507199.5</v>
      </c>
    </row>
    <row r="618" spans="2:12" x14ac:dyDescent="0.25">
      <c r="B618" s="43">
        <f t="shared" ref="B618" si="225">B617+1</f>
        <v>6</v>
      </c>
      <c r="C618" s="35"/>
      <c r="D618" s="35"/>
      <c r="E618" s="35">
        <v>233001</v>
      </c>
      <c r="F618" s="35"/>
      <c r="G618" s="9" t="s">
        <v>271</v>
      </c>
      <c r="H618" s="10">
        <v>0</v>
      </c>
      <c r="I618" s="10">
        <v>560000</v>
      </c>
      <c r="J618" s="10">
        <v>727917</v>
      </c>
      <c r="K618" s="10">
        <v>1558493.76</v>
      </c>
      <c r="L618" s="10">
        <v>1507199.5</v>
      </c>
    </row>
    <row r="619" spans="2:12" ht="16.5" thickBot="1" x14ac:dyDescent="0.3">
      <c r="B619" s="43">
        <v>6</v>
      </c>
      <c r="C619" s="31">
        <v>300</v>
      </c>
      <c r="D619" s="31"/>
      <c r="E619" s="31"/>
      <c r="F619" s="31"/>
      <c r="G619" s="1" t="s">
        <v>193</v>
      </c>
      <c r="H619" s="2">
        <f>H620</f>
        <v>0</v>
      </c>
      <c r="I619" s="2">
        <f t="shared" ref="I619:L620" si="226">I620</f>
        <v>0</v>
      </c>
      <c r="J619" s="2">
        <f t="shared" si="226"/>
        <v>367205</v>
      </c>
      <c r="K619" s="2">
        <f t="shared" si="226"/>
        <v>195000</v>
      </c>
      <c r="L619" s="2">
        <f t="shared" si="226"/>
        <v>23000</v>
      </c>
    </row>
    <row r="620" spans="2:12" ht="15.75" thickBot="1" x14ac:dyDescent="0.3">
      <c r="B620" s="43">
        <f t="shared" ref="B620" si="227">B619+1</f>
        <v>7</v>
      </c>
      <c r="C620" s="32"/>
      <c r="D620" s="32"/>
      <c r="E620" s="32"/>
      <c r="F620" s="32"/>
      <c r="G620" s="3" t="s">
        <v>12</v>
      </c>
      <c r="H620" s="4">
        <f>H621</f>
        <v>0</v>
      </c>
      <c r="I620" s="4">
        <f t="shared" si="226"/>
        <v>0</v>
      </c>
      <c r="J620" s="4">
        <f t="shared" si="226"/>
        <v>367205</v>
      </c>
      <c r="K620" s="4">
        <f t="shared" si="226"/>
        <v>195000</v>
      </c>
      <c r="L620" s="4">
        <f t="shared" si="226"/>
        <v>23000</v>
      </c>
    </row>
    <row r="621" spans="2:12" x14ac:dyDescent="0.25">
      <c r="B621" s="43">
        <v>7</v>
      </c>
      <c r="C621" s="33">
        <v>320</v>
      </c>
      <c r="D621" s="33"/>
      <c r="E621" s="33"/>
      <c r="F621" s="33"/>
      <c r="G621" s="5" t="s">
        <v>272</v>
      </c>
      <c r="H621" s="6">
        <f>H622+H626</f>
        <v>0</v>
      </c>
      <c r="I621" s="6">
        <f t="shared" ref="I621:L621" si="228">I626+I622</f>
        <v>0</v>
      </c>
      <c r="J621" s="6">
        <f t="shared" si="228"/>
        <v>367205</v>
      </c>
      <c r="K621" s="6">
        <f t="shared" si="228"/>
        <v>195000</v>
      </c>
      <c r="L621" s="6">
        <f t="shared" si="228"/>
        <v>23000</v>
      </c>
    </row>
    <row r="622" spans="2:12" x14ac:dyDescent="0.25">
      <c r="B622" s="43">
        <f t="shared" ref="B622" si="229">B621+1</f>
        <v>8</v>
      </c>
      <c r="C622" s="34"/>
      <c r="D622" s="34">
        <v>321</v>
      </c>
      <c r="E622" s="34"/>
      <c r="F622" s="34"/>
      <c r="G622" s="7" t="s">
        <v>195</v>
      </c>
      <c r="H622" s="8">
        <f>H623+H626</f>
        <v>0</v>
      </c>
      <c r="I622" s="8">
        <f t="shared" ref="I622:L623" si="230">I623</f>
        <v>0</v>
      </c>
      <c r="J622" s="8">
        <f t="shared" si="230"/>
        <v>10000</v>
      </c>
      <c r="K622" s="8">
        <f t="shared" si="230"/>
        <v>0</v>
      </c>
      <c r="L622" s="8">
        <f t="shared" si="230"/>
        <v>5000</v>
      </c>
    </row>
    <row r="623" spans="2:12" x14ac:dyDescent="0.25">
      <c r="B623" s="43">
        <v>8</v>
      </c>
      <c r="C623" s="35"/>
      <c r="D623" s="35"/>
      <c r="E623" s="35">
        <v>321</v>
      </c>
      <c r="F623" s="35"/>
      <c r="G623" s="9" t="s">
        <v>195</v>
      </c>
      <c r="H623" s="10">
        <f>H624+H625</f>
        <v>0</v>
      </c>
      <c r="I623" s="10">
        <f t="shared" si="230"/>
        <v>0</v>
      </c>
      <c r="J623" s="10">
        <f>J624+J625</f>
        <v>10000</v>
      </c>
      <c r="K623" s="10">
        <f t="shared" si="230"/>
        <v>0</v>
      </c>
      <c r="L623" s="10">
        <f t="shared" si="230"/>
        <v>5000</v>
      </c>
    </row>
    <row r="624" spans="2:12" x14ac:dyDescent="0.25">
      <c r="B624" s="43">
        <f t="shared" ref="B624" si="231">B623+1</f>
        <v>9</v>
      </c>
      <c r="C624" s="36"/>
      <c r="D624" s="36"/>
      <c r="E624" s="36"/>
      <c r="F624" s="36" t="s">
        <v>60</v>
      </c>
      <c r="G624" s="12" t="s">
        <v>273</v>
      </c>
      <c r="H624" s="13">
        <v>0</v>
      </c>
      <c r="I624" s="13">
        <v>0</v>
      </c>
      <c r="J624" s="13">
        <v>0</v>
      </c>
      <c r="K624" s="13"/>
      <c r="L624" s="13">
        <v>5000</v>
      </c>
    </row>
    <row r="625" spans="2:12" x14ac:dyDescent="0.25">
      <c r="B625" s="43">
        <v>9</v>
      </c>
      <c r="C625" s="36"/>
      <c r="D625" s="36"/>
      <c r="E625" s="36"/>
      <c r="F625" s="36"/>
      <c r="G625" s="12" t="s">
        <v>274</v>
      </c>
      <c r="H625" s="13">
        <v>0</v>
      </c>
      <c r="I625" s="13"/>
      <c r="J625" s="13">
        <v>10000</v>
      </c>
      <c r="K625" s="13"/>
      <c r="L625" s="13"/>
    </row>
    <row r="626" spans="2:12" x14ac:dyDescent="0.25">
      <c r="B626" s="43">
        <f t="shared" ref="B626" si="232">B625+1</f>
        <v>10</v>
      </c>
      <c r="C626" s="34"/>
      <c r="D626" s="34">
        <v>322</v>
      </c>
      <c r="E626" s="34"/>
      <c r="F626" s="34"/>
      <c r="G626" s="7" t="s">
        <v>197</v>
      </c>
      <c r="H626" s="8">
        <f>H627</f>
        <v>0</v>
      </c>
      <c r="I626" s="8">
        <f t="shared" ref="I626:L627" si="233">I627</f>
        <v>0</v>
      </c>
      <c r="J626" s="8">
        <f t="shared" si="233"/>
        <v>357205</v>
      </c>
      <c r="K626" s="8">
        <f t="shared" si="233"/>
        <v>195000</v>
      </c>
      <c r="L626" s="8">
        <f t="shared" si="233"/>
        <v>18000</v>
      </c>
    </row>
    <row r="627" spans="2:12" x14ac:dyDescent="0.25">
      <c r="B627" s="43">
        <v>10</v>
      </c>
      <c r="C627" s="35"/>
      <c r="D627" s="35"/>
      <c r="E627" s="35">
        <v>322001</v>
      </c>
      <c r="F627" s="35"/>
      <c r="G627" s="9" t="s">
        <v>275</v>
      </c>
      <c r="H627" s="10">
        <f>SUM(H628:H634)</f>
        <v>0</v>
      </c>
      <c r="I627" s="10">
        <f t="shared" si="233"/>
        <v>0</v>
      </c>
      <c r="J627" s="10">
        <f>J628+J633+J634</f>
        <v>357205</v>
      </c>
      <c r="K627" s="10">
        <f>K631+K632</f>
        <v>195000</v>
      </c>
      <c r="L627" s="10">
        <f>L629+L630</f>
        <v>18000</v>
      </c>
    </row>
    <row r="628" spans="2:12" x14ac:dyDescent="0.25">
      <c r="B628" s="43">
        <f t="shared" ref="B628" si="234">B627+1</f>
        <v>11</v>
      </c>
      <c r="C628" s="36"/>
      <c r="D628" s="36"/>
      <c r="E628" s="36"/>
      <c r="F628" s="36" t="s">
        <v>60</v>
      </c>
      <c r="G628" s="12" t="s">
        <v>276</v>
      </c>
      <c r="H628" s="13">
        <v>0</v>
      </c>
      <c r="I628" s="13">
        <v>0</v>
      </c>
      <c r="J628" s="13">
        <v>34000</v>
      </c>
      <c r="K628" s="13"/>
      <c r="L628" s="13"/>
    </row>
    <row r="629" spans="2:12" x14ac:dyDescent="0.25">
      <c r="B629" s="43">
        <v>11</v>
      </c>
      <c r="C629" s="41"/>
      <c r="D629" s="41"/>
      <c r="E629" s="41"/>
      <c r="F629" s="41"/>
      <c r="G629" s="23" t="s">
        <v>277</v>
      </c>
      <c r="H629" s="24">
        <v>0</v>
      </c>
      <c r="I629" s="24"/>
      <c r="J629" s="24"/>
      <c r="K629" s="24"/>
      <c r="L629" s="24">
        <v>7000</v>
      </c>
    </row>
    <row r="630" spans="2:12" x14ac:dyDescent="0.25">
      <c r="B630" s="43">
        <f t="shared" ref="B630" si="235">B629+1</f>
        <v>12</v>
      </c>
      <c r="C630" s="41"/>
      <c r="D630" s="41"/>
      <c r="E630" s="41"/>
      <c r="F630" s="41"/>
      <c r="G630" s="23" t="s">
        <v>278</v>
      </c>
      <c r="H630" s="24">
        <v>0</v>
      </c>
      <c r="I630" s="24"/>
      <c r="J630" s="24"/>
      <c r="K630" s="24"/>
      <c r="L630" s="24">
        <v>11000</v>
      </c>
    </row>
    <row r="631" spans="2:12" x14ac:dyDescent="0.25">
      <c r="B631" s="43">
        <v>12</v>
      </c>
      <c r="C631" s="41"/>
      <c r="D631" s="41"/>
      <c r="E631" s="41"/>
      <c r="F631" s="41"/>
      <c r="G631" s="25" t="s">
        <v>284</v>
      </c>
      <c r="H631" s="24">
        <v>0</v>
      </c>
      <c r="I631" s="24"/>
      <c r="J631" s="24"/>
      <c r="K631" s="24">
        <v>15000</v>
      </c>
      <c r="L631" s="24"/>
    </row>
    <row r="632" spans="2:12" x14ac:dyDescent="0.25">
      <c r="B632" s="43">
        <f t="shared" ref="B632" si="236">B631+1</f>
        <v>13</v>
      </c>
      <c r="C632" s="41"/>
      <c r="D632" s="41"/>
      <c r="E632" s="41"/>
      <c r="F632" s="41"/>
      <c r="G632" s="26" t="s">
        <v>279</v>
      </c>
      <c r="H632" s="24">
        <v>0</v>
      </c>
      <c r="I632" s="24"/>
      <c r="J632" s="24"/>
      <c r="K632" s="24">
        <v>180000</v>
      </c>
      <c r="L632" s="24"/>
    </row>
    <row r="633" spans="2:12" x14ac:dyDescent="0.25">
      <c r="B633" s="43">
        <v>13</v>
      </c>
      <c r="C633" s="41"/>
      <c r="D633" s="41"/>
      <c r="E633" s="41"/>
      <c r="F633" s="41"/>
      <c r="G633" s="22" t="s">
        <v>280</v>
      </c>
      <c r="H633" s="24">
        <v>0</v>
      </c>
      <c r="I633" s="24">
        <v>0</v>
      </c>
      <c r="J633" s="24">
        <v>100000</v>
      </c>
      <c r="K633" s="24"/>
      <c r="L633" s="24"/>
    </row>
    <row r="634" spans="2:12" x14ac:dyDescent="0.25">
      <c r="B634" s="43">
        <f t="shared" ref="B634" si="237">B633+1</f>
        <v>14</v>
      </c>
      <c r="C634" s="41"/>
      <c r="D634" s="41"/>
      <c r="E634" s="41"/>
      <c r="F634" s="41"/>
      <c r="G634" s="22" t="s">
        <v>281</v>
      </c>
      <c r="H634" s="24">
        <v>0</v>
      </c>
      <c r="I634" s="24"/>
      <c r="J634" s="24">
        <v>223205</v>
      </c>
      <c r="K634" s="24"/>
      <c r="L634" s="24"/>
    </row>
    <row r="635" spans="2:12" x14ac:dyDescent="0.25">
      <c r="B635" s="43">
        <v>14</v>
      </c>
      <c r="C635" s="39"/>
      <c r="D635" s="39"/>
      <c r="E635" s="39"/>
      <c r="F635" s="39"/>
      <c r="G635" s="20" t="s">
        <v>282</v>
      </c>
      <c r="H635" s="21">
        <f>H612+H619</f>
        <v>200000</v>
      </c>
      <c r="I635" s="21">
        <f t="shared" ref="I635:L635" si="238">I619+I612</f>
        <v>560000</v>
      </c>
      <c r="J635" s="21">
        <f t="shared" si="238"/>
        <v>1106042</v>
      </c>
      <c r="K635" s="21">
        <f>K612+K619</f>
        <v>1807028.74</v>
      </c>
      <c r="L635" s="21">
        <f t="shared" si="238"/>
        <v>1926753.88</v>
      </c>
    </row>
    <row r="637" spans="2:12" ht="12.75" customHeight="1" x14ac:dyDescent="0.25">
      <c r="B637" s="262" t="s">
        <v>283</v>
      </c>
      <c r="C637" s="263"/>
      <c r="D637" s="263"/>
      <c r="E637" s="263"/>
      <c r="F637" s="263"/>
      <c r="G637" s="264"/>
      <c r="H637" s="268" t="s">
        <v>934</v>
      </c>
      <c r="I637" s="271" t="s">
        <v>1</v>
      </c>
      <c r="J637" s="271" t="s">
        <v>2</v>
      </c>
      <c r="K637" s="251" t="s">
        <v>3</v>
      </c>
      <c r="L637" s="251" t="s">
        <v>4</v>
      </c>
    </row>
    <row r="638" spans="2:12" ht="9.75" customHeight="1" x14ac:dyDescent="0.25">
      <c r="B638" s="265"/>
      <c r="C638" s="266"/>
      <c r="D638" s="266"/>
      <c r="E638" s="266"/>
      <c r="F638" s="266"/>
      <c r="G638" s="267"/>
      <c r="H638" s="269"/>
      <c r="I638" s="272"/>
      <c r="J638" s="272"/>
      <c r="K638" s="252"/>
      <c r="L638" s="252"/>
    </row>
    <row r="639" spans="2:12" x14ac:dyDescent="0.25">
      <c r="B639" s="254" t="s">
        <v>5</v>
      </c>
      <c r="C639" s="274" t="s">
        <v>6</v>
      </c>
      <c r="D639" s="276" t="s">
        <v>7</v>
      </c>
      <c r="E639" s="276" t="s">
        <v>8</v>
      </c>
      <c r="F639" s="276" t="s">
        <v>9</v>
      </c>
      <c r="G639" s="260" t="s">
        <v>10</v>
      </c>
      <c r="H639" s="269"/>
      <c r="I639" s="272"/>
      <c r="J639" s="272"/>
      <c r="K639" s="252"/>
      <c r="L639" s="252"/>
    </row>
    <row r="640" spans="2:12" ht="9.75" customHeight="1" thickBot="1" x14ac:dyDescent="0.3">
      <c r="B640" s="255"/>
      <c r="C640" s="275"/>
      <c r="D640" s="277"/>
      <c r="E640" s="277"/>
      <c r="F640" s="277"/>
      <c r="G640" s="261"/>
      <c r="H640" s="270"/>
      <c r="I640" s="273"/>
      <c r="J640" s="273"/>
      <c r="K640" s="253"/>
      <c r="L640" s="253"/>
    </row>
    <row r="641" spans="2:12" ht="15.75" thickTop="1" x14ac:dyDescent="0.25">
      <c r="B641" s="120">
        <v>1</v>
      </c>
      <c r="C641" s="39"/>
      <c r="D641" s="39"/>
      <c r="E641" s="39"/>
      <c r="F641" s="39"/>
      <c r="G641" s="20" t="s">
        <v>267</v>
      </c>
      <c r="H641" s="21">
        <f>H606</f>
        <v>38608366</v>
      </c>
      <c r="I641" s="21">
        <f t="shared" ref="I641:L641" si="239">I606</f>
        <v>33884000</v>
      </c>
      <c r="J641" s="21">
        <f t="shared" si="239"/>
        <v>34783503</v>
      </c>
      <c r="K641" s="21">
        <f t="shared" si="239"/>
        <v>34189885.589999996</v>
      </c>
      <c r="L641" s="21">
        <f t="shared" si="239"/>
        <v>31923374</v>
      </c>
    </row>
    <row r="642" spans="2:12" ht="15.75" thickBot="1" x14ac:dyDescent="0.3">
      <c r="B642" s="120">
        <v>2</v>
      </c>
      <c r="C642" s="39"/>
      <c r="D642" s="39"/>
      <c r="E642" s="39"/>
      <c r="F642" s="39"/>
      <c r="G642" s="20" t="s">
        <v>282</v>
      </c>
      <c r="H642" s="21">
        <f>H635</f>
        <v>200000</v>
      </c>
      <c r="I642" s="21">
        <f t="shared" ref="I642:L642" si="240">I635</f>
        <v>560000</v>
      </c>
      <c r="J642" s="21">
        <f t="shared" si="240"/>
        <v>1106042</v>
      </c>
      <c r="K642" s="21">
        <f t="shared" si="240"/>
        <v>1807028.74</v>
      </c>
      <c r="L642" s="21">
        <f t="shared" si="240"/>
        <v>1926753.88</v>
      </c>
    </row>
    <row r="643" spans="2:12" ht="16.5" thickTop="1" x14ac:dyDescent="0.25">
      <c r="B643" s="121">
        <v>3</v>
      </c>
      <c r="C643" s="42"/>
      <c r="D643" s="42"/>
      <c r="E643" s="42"/>
      <c r="F643" s="42"/>
      <c r="G643" s="27" t="s">
        <v>283</v>
      </c>
      <c r="H643" s="28">
        <f>H641+H642</f>
        <v>38808366</v>
      </c>
      <c r="I643" s="28">
        <f t="shared" ref="I643:L643" si="241">I606+I635</f>
        <v>34444000</v>
      </c>
      <c r="J643" s="28">
        <f t="shared" si="241"/>
        <v>35889545</v>
      </c>
      <c r="K643" s="28">
        <f t="shared" si="241"/>
        <v>35996914.329999998</v>
      </c>
      <c r="L643" s="28">
        <f t="shared" si="241"/>
        <v>33850127.880000003</v>
      </c>
    </row>
  </sheetData>
  <mergeCells count="37">
    <mergeCell ref="B2:L2"/>
    <mergeCell ref="J637:J640"/>
    <mergeCell ref="K637:K640"/>
    <mergeCell ref="L637:L640"/>
    <mergeCell ref="B639:B640"/>
    <mergeCell ref="C639:C640"/>
    <mergeCell ref="D639:D640"/>
    <mergeCell ref="E639:E640"/>
    <mergeCell ref="F639:F640"/>
    <mergeCell ref="G639:G640"/>
    <mergeCell ref="B637:G638"/>
    <mergeCell ref="H637:H640"/>
    <mergeCell ref="I637:I640"/>
    <mergeCell ref="J608:J611"/>
    <mergeCell ref="K608:K611"/>
    <mergeCell ref="L608:L611"/>
    <mergeCell ref="G610:G611"/>
    <mergeCell ref="B608:G609"/>
    <mergeCell ref="H608:H611"/>
    <mergeCell ref="I608:I611"/>
    <mergeCell ref="J4:J7"/>
    <mergeCell ref="B610:B611"/>
    <mergeCell ref="C610:C611"/>
    <mergeCell ref="D610:D611"/>
    <mergeCell ref="E610:E611"/>
    <mergeCell ref="F610:F611"/>
    <mergeCell ref="K4:K7"/>
    <mergeCell ref="L4:L7"/>
    <mergeCell ref="B6:B7"/>
    <mergeCell ref="C6:C7"/>
    <mergeCell ref="D6:D7"/>
    <mergeCell ref="E6:E7"/>
    <mergeCell ref="F6:F7"/>
    <mergeCell ref="G6:G7"/>
    <mergeCell ref="B4:G5"/>
    <mergeCell ref="H4:H7"/>
    <mergeCell ref="I4:I7"/>
  </mergeCells>
  <pageMargins left="0.62992125984251968" right="0.62992125984251968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9"/>
  <sheetViews>
    <sheetView zoomScale="90" zoomScaleNormal="90" workbookViewId="0"/>
  </sheetViews>
  <sheetFormatPr defaultRowHeight="15" x14ac:dyDescent="0.25"/>
  <cols>
    <col min="1" max="1" width="1" customWidth="1"/>
    <col min="2" max="2" width="5" style="99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32" customWidth="1"/>
    <col min="8" max="8" width="47" customWidth="1"/>
    <col min="9" max="9" width="12.42578125" style="11" customWidth="1"/>
    <col min="10" max="10" width="13.42578125" style="11" customWidth="1"/>
    <col min="11" max="11" width="12.42578125" style="11" customWidth="1"/>
    <col min="12" max="12" width="12.7109375" style="11" customWidth="1"/>
    <col min="13" max="13" width="13" style="11" customWidth="1"/>
    <col min="14" max="14" width="12.28515625" style="11" customWidth="1"/>
    <col min="15" max="15" width="12" style="11" customWidth="1"/>
    <col min="16" max="16" width="11.85546875" style="11" customWidth="1"/>
    <col min="17" max="17" width="11.42578125" style="11" customWidth="1"/>
    <col min="18" max="18" width="11.85546875" style="11" customWidth="1"/>
    <col min="19" max="19" width="3.28515625" customWidth="1"/>
    <col min="20" max="20" width="12.140625" customWidth="1"/>
    <col min="238" max="238" width="1" customWidth="1"/>
    <col min="239" max="239" width="3.7109375" customWidth="1"/>
    <col min="240" max="240" width="3.42578125" customWidth="1"/>
    <col min="241" max="241" width="2.7109375" customWidth="1"/>
    <col min="242" max="242" width="4.5703125" customWidth="1"/>
    <col min="243" max="243" width="5.42578125" customWidth="1"/>
    <col min="244" max="244" width="4.7109375" customWidth="1"/>
    <col min="245" max="245" width="28.140625" customWidth="1"/>
    <col min="246" max="246" width="12.7109375" customWidth="1"/>
    <col min="247" max="247" width="11.42578125" customWidth="1"/>
    <col min="248" max="248" width="14" customWidth="1"/>
    <col min="249" max="249" width="12.5703125" customWidth="1"/>
    <col min="250" max="251" width="13.140625" customWidth="1"/>
    <col min="252" max="252" width="12.7109375" customWidth="1"/>
    <col min="253" max="253" width="14.5703125" customWidth="1"/>
    <col min="254" max="254" width="0.85546875" customWidth="1"/>
    <col min="255" max="255" width="11.85546875" customWidth="1"/>
    <col min="256" max="256" width="11.7109375" customWidth="1"/>
    <col min="257" max="257" width="12" customWidth="1"/>
    <col min="258" max="258" width="12.5703125" customWidth="1"/>
    <col min="259" max="260" width="14.85546875" customWidth="1"/>
    <col min="261" max="261" width="14" customWidth="1"/>
    <col min="262" max="265" width="16.7109375" customWidth="1"/>
    <col min="266" max="266" width="0.42578125" customWidth="1"/>
    <col min="494" max="494" width="1" customWidth="1"/>
    <col min="495" max="495" width="3.7109375" customWidth="1"/>
    <col min="496" max="496" width="3.42578125" customWidth="1"/>
    <col min="497" max="497" width="2.7109375" customWidth="1"/>
    <col min="498" max="498" width="4.5703125" customWidth="1"/>
    <col min="499" max="499" width="5.42578125" customWidth="1"/>
    <col min="500" max="500" width="4.7109375" customWidth="1"/>
    <col min="501" max="501" width="28.140625" customWidth="1"/>
    <col min="502" max="502" width="12.7109375" customWidth="1"/>
    <col min="503" max="503" width="11.42578125" customWidth="1"/>
    <col min="504" max="504" width="14" customWidth="1"/>
    <col min="505" max="505" width="12.5703125" customWidth="1"/>
    <col min="506" max="507" width="13.140625" customWidth="1"/>
    <col min="508" max="508" width="12.7109375" customWidth="1"/>
    <col min="509" max="509" width="14.5703125" customWidth="1"/>
    <col min="510" max="510" width="0.85546875" customWidth="1"/>
    <col min="511" max="511" width="11.85546875" customWidth="1"/>
    <col min="512" max="512" width="11.7109375" customWidth="1"/>
    <col min="513" max="513" width="12" customWidth="1"/>
    <col min="514" max="514" width="12.5703125" customWidth="1"/>
    <col min="515" max="516" width="14.85546875" customWidth="1"/>
    <col min="517" max="517" width="14" customWidth="1"/>
    <col min="518" max="521" width="16.7109375" customWidth="1"/>
    <col min="522" max="522" width="0.42578125" customWidth="1"/>
    <col min="750" max="750" width="1" customWidth="1"/>
    <col min="751" max="751" width="3.7109375" customWidth="1"/>
    <col min="752" max="752" width="3.42578125" customWidth="1"/>
    <col min="753" max="753" width="2.7109375" customWidth="1"/>
    <col min="754" max="754" width="4.5703125" customWidth="1"/>
    <col min="755" max="755" width="5.42578125" customWidth="1"/>
    <col min="756" max="756" width="4.7109375" customWidth="1"/>
    <col min="757" max="757" width="28.140625" customWidth="1"/>
    <col min="758" max="758" width="12.7109375" customWidth="1"/>
    <col min="759" max="759" width="11.42578125" customWidth="1"/>
    <col min="760" max="760" width="14" customWidth="1"/>
    <col min="761" max="761" width="12.5703125" customWidth="1"/>
    <col min="762" max="763" width="13.140625" customWidth="1"/>
    <col min="764" max="764" width="12.7109375" customWidth="1"/>
    <col min="765" max="765" width="14.5703125" customWidth="1"/>
    <col min="766" max="766" width="0.85546875" customWidth="1"/>
    <col min="767" max="767" width="11.85546875" customWidth="1"/>
    <col min="768" max="768" width="11.7109375" customWidth="1"/>
    <col min="769" max="769" width="12" customWidth="1"/>
    <col min="770" max="770" width="12.5703125" customWidth="1"/>
    <col min="771" max="772" width="14.85546875" customWidth="1"/>
    <col min="773" max="773" width="14" customWidth="1"/>
    <col min="774" max="777" width="16.7109375" customWidth="1"/>
    <col min="778" max="778" width="0.42578125" customWidth="1"/>
    <col min="1006" max="1006" width="1" customWidth="1"/>
    <col min="1007" max="1007" width="3.7109375" customWidth="1"/>
    <col min="1008" max="1008" width="3.42578125" customWidth="1"/>
    <col min="1009" max="1009" width="2.7109375" customWidth="1"/>
    <col min="1010" max="1010" width="4.5703125" customWidth="1"/>
    <col min="1011" max="1011" width="5.42578125" customWidth="1"/>
    <col min="1012" max="1012" width="4.7109375" customWidth="1"/>
    <col min="1013" max="1013" width="28.140625" customWidth="1"/>
    <col min="1014" max="1014" width="12.7109375" customWidth="1"/>
    <col min="1015" max="1015" width="11.42578125" customWidth="1"/>
    <col min="1016" max="1016" width="14" customWidth="1"/>
    <col min="1017" max="1017" width="12.5703125" customWidth="1"/>
    <col min="1018" max="1019" width="13.140625" customWidth="1"/>
    <col min="1020" max="1020" width="12.7109375" customWidth="1"/>
    <col min="1021" max="1021" width="14.5703125" customWidth="1"/>
    <col min="1022" max="1022" width="0.85546875" customWidth="1"/>
    <col min="1023" max="1023" width="11.85546875" customWidth="1"/>
    <col min="1024" max="1024" width="11.7109375" customWidth="1"/>
    <col min="1025" max="1025" width="12" customWidth="1"/>
    <col min="1026" max="1026" width="12.5703125" customWidth="1"/>
    <col min="1027" max="1028" width="14.85546875" customWidth="1"/>
    <col min="1029" max="1029" width="14" customWidth="1"/>
    <col min="1030" max="1033" width="16.7109375" customWidth="1"/>
    <col min="1034" max="1034" width="0.42578125" customWidth="1"/>
    <col min="1262" max="1262" width="1" customWidth="1"/>
    <col min="1263" max="1263" width="3.7109375" customWidth="1"/>
    <col min="1264" max="1264" width="3.42578125" customWidth="1"/>
    <col min="1265" max="1265" width="2.7109375" customWidth="1"/>
    <col min="1266" max="1266" width="4.5703125" customWidth="1"/>
    <col min="1267" max="1267" width="5.42578125" customWidth="1"/>
    <col min="1268" max="1268" width="4.7109375" customWidth="1"/>
    <col min="1269" max="1269" width="28.140625" customWidth="1"/>
    <col min="1270" max="1270" width="12.7109375" customWidth="1"/>
    <col min="1271" max="1271" width="11.42578125" customWidth="1"/>
    <col min="1272" max="1272" width="14" customWidth="1"/>
    <col min="1273" max="1273" width="12.5703125" customWidth="1"/>
    <col min="1274" max="1275" width="13.140625" customWidth="1"/>
    <col min="1276" max="1276" width="12.7109375" customWidth="1"/>
    <col min="1277" max="1277" width="14.5703125" customWidth="1"/>
    <col min="1278" max="1278" width="0.85546875" customWidth="1"/>
    <col min="1279" max="1279" width="11.85546875" customWidth="1"/>
    <col min="1280" max="1280" width="11.7109375" customWidth="1"/>
    <col min="1281" max="1281" width="12" customWidth="1"/>
    <col min="1282" max="1282" width="12.5703125" customWidth="1"/>
    <col min="1283" max="1284" width="14.85546875" customWidth="1"/>
    <col min="1285" max="1285" width="14" customWidth="1"/>
    <col min="1286" max="1289" width="16.7109375" customWidth="1"/>
    <col min="1290" max="1290" width="0.42578125" customWidth="1"/>
    <col min="1518" max="1518" width="1" customWidth="1"/>
    <col min="1519" max="1519" width="3.7109375" customWidth="1"/>
    <col min="1520" max="1520" width="3.42578125" customWidth="1"/>
    <col min="1521" max="1521" width="2.7109375" customWidth="1"/>
    <col min="1522" max="1522" width="4.5703125" customWidth="1"/>
    <col min="1523" max="1523" width="5.42578125" customWidth="1"/>
    <col min="1524" max="1524" width="4.7109375" customWidth="1"/>
    <col min="1525" max="1525" width="28.140625" customWidth="1"/>
    <col min="1526" max="1526" width="12.7109375" customWidth="1"/>
    <col min="1527" max="1527" width="11.42578125" customWidth="1"/>
    <col min="1528" max="1528" width="14" customWidth="1"/>
    <col min="1529" max="1529" width="12.5703125" customWidth="1"/>
    <col min="1530" max="1531" width="13.140625" customWidth="1"/>
    <col min="1532" max="1532" width="12.7109375" customWidth="1"/>
    <col min="1533" max="1533" width="14.5703125" customWidth="1"/>
    <col min="1534" max="1534" width="0.85546875" customWidth="1"/>
    <col min="1535" max="1535" width="11.85546875" customWidth="1"/>
    <col min="1536" max="1536" width="11.7109375" customWidth="1"/>
    <col min="1537" max="1537" width="12" customWidth="1"/>
    <col min="1538" max="1538" width="12.5703125" customWidth="1"/>
    <col min="1539" max="1540" width="14.85546875" customWidth="1"/>
    <col min="1541" max="1541" width="14" customWidth="1"/>
    <col min="1542" max="1545" width="16.7109375" customWidth="1"/>
    <col min="1546" max="1546" width="0.42578125" customWidth="1"/>
    <col min="1774" max="1774" width="1" customWidth="1"/>
    <col min="1775" max="1775" width="3.7109375" customWidth="1"/>
    <col min="1776" max="1776" width="3.42578125" customWidth="1"/>
    <col min="1777" max="1777" width="2.7109375" customWidth="1"/>
    <col min="1778" max="1778" width="4.5703125" customWidth="1"/>
    <col min="1779" max="1779" width="5.42578125" customWidth="1"/>
    <col min="1780" max="1780" width="4.7109375" customWidth="1"/>
    <col min="1781" max="1781" width="28.140625" customWidth="1"/>
    <col min="1782" max="1782" width="12.7109375" customWidth="1"/>
    <col min="1783" max="1783" width="11.42578125" customWidth="1"/>
    <col min="1784" max="1784" width="14" customWidth="1"/>
    <col min="1785" max="1785" width="12.5703125" customWidth="1"/>
    <col min="1786" max="1787" width="13.140625" customWidth="1"/>
    <col min="1788" max="1788" width="12.7109375" customWidth="1"/>
    <col min="1789" max="1789" width="14.5703125" customWidth="1"/>
    <col min="1790" max="1790" width="0.85546875" customWidth="1"/>
    <col min="1791" max="1791" width="11.85546875" customWidth="1"/>
    <col min="1792" max="1792" width="11.7109375" customWidth="1"/>
    <col min="1793" max="1793" width="12" customWidth="1"/>
    <col min="1794" max="1794" width="12.5703125" customWidth="1"/>
    <col min="1795" max="1796" width="14.85546875" customWidth="1"/>
    <col min="1797" max="1797" width="14" customWidth="1"/>
    <col min="1798" max="1801" width="16.7109375" customWidth="1"/>
    <col min="1802" max="1802" width="0.42578125" customWidth="1"/>
    <col min="2030" max="2030" width="1" customWidth="1"/>
    <col min="2031" max="2031" width="3.7109375" customWidth="1"/>
    <col min="2032" max="2032" width="3.42578125" customWidth="1"/>
    <col min="2033" max="2033" width="2.7109375" customWidth="1"/>
    <col min="2034" max="2034" width="4.5703125" customWidth="1"/>
    <col min="2035" max="2035" width="5.42578125" customWidth="1"/>
    <col min="2036" max="2036" width="4.7109375" customWidth="1"/>
    <col min="2037" max="2037" width="28.140625" customWidth="1"/>
    <col min="2038" max="2038" width="12.7109375" customWidth="1"/>
    <col min="2039" max="2039" width="11.42578125" customWidth="1"/>
    <col min="2040" max="2040" width="14" customWidth="1"/>
    <col min="2041" max="2041" width="12.5703125" customWidth="1"/>
    <col min="2042" max="2043" width="13.140625" customWidth="1"/>
    <col min="2044" max="2044" width="12.7109375" customWidth="1"/>
    <col min="2045" max="2045" width="14.5703125" customWidth="1"/>
    <col min="2046" max="2046" width="0.85546875" customWidth="1"/>
    <col min="2047" max="2047" width="11.85546875" customWidth="1"/>
    <col min="2048" max="2048" width="11.7109375" customWidth="1"/>
    <col min="2049" max="2049" width="12" customWidth="1"/>
    <col min="2050" max="2050" width="12.5703125" customWidth="1"/>
    <col min="2051" max="2052" width="14.85546875" customWidth="1"/>
    <col min="2053" max="2053" width="14" customWidth="1"/>
    <col min="2054" max="2057" width="16.7109375" customWidth="1"/>
    <col min="2058" max="2058" width="0.42578125" customWidth="1"/>
    <col min="2286" max="2286" width="1" customWidth="1"/>
    <col min="2287" max="2287" width="3.7109375" customWidth="1"/>
    <col min="2288" max="2288" width="3.42578125" customWidth="1"/>
    <col min="2289" max="2289" width="2.7109375" customWidth="1"/>
    <col min="2290" max="2290" width="4.5703125" customWidth="1"/>
    <col min="2291" max="2291" width="5.42578125" customWidth="1"/>
    <col min="2292" max="2292" width="4.7109375" customWidth="1"/>
    <col min="2293" max="2293" width="28.140625" customWidth="1"/>
    <col min="2294" max="2294" width="12.7109375" customWidth="1"/>
    <col min="2295" max="2295" width="11.42578125" customWidth="1"/>
    <col min="2296" max="2296" width="14" customWidth="1"/>
    <col min="2297" max="2297" width="12.5703125" customWidth="1"/>
    <col min="2298" max="2299" width="13.140625" customWidth="1"/>
    <col min="2300" max="2300" width="12.7109375" customWidth="1"/>
    <col min="2301" max="2301" width="14.5703125" customWidth="1"/>
    <col min="2302" max="2302" width="0.85546875" customWidth="1"/>
    <col min="2303" max="2303" width="11.85546875" customWidth="1"/>
    <col min="2304" max="2304" width="11.7109375" customWidth="1"/>
    <col min="2305" max="2305" width="12" customWidth="1"/>
    <col min="2306" max="2306" width="12.5703125" customWidth="1"/>
    <col min="2307" max="2308" width="14.85546875" customWidth="1"/>
    <col min="2309" max="2309" width="14" customWidth="1"/>
    <col min="2310" max="2313" width="16.7109375" customWidth="1"/>
    <col min="2314" max="2314" width="0.42578125" customWidth="1"/>
    <col min="2542" max="2542" width="1" customWidth="1"/>
    <col min="2543" max="2543" width="3.7109375" customWidth="1"/>
    <col min="2544" max="2544" width="3.42578125" customWidth="1"/>
    <col min="2545" max="2545" width="2.7109375" customWidth="1"/>
    <col min="2546" max="2546" width="4.5703125" customWidth="1"/>
    <col min="2547" max="2547" width="5.42578125" customWidth="1"/>
    <col min="2548" max="2548" width="4.7109375" customWidth="1"/>
    <col min="2549" max="2549" width="28.140625" customWidth="1"/>
    <col min="2550" max="2550" width="12.7109375" customWidth="1"/>
    <col min="2551" max="2551" width="11.42578125" customWidth="1"/>
    <col min="2552" max="2552" width="14" customWidth="1"/>
    <col min="2553" max="2553" width="12.5703125" customWidth="1"/>
    <col min="2554" max="2555" width="13.140625" customWidth="1"/>
    <col min="2556" max="2556" width="12.7109375" customWidth="1"/>
    <col min="2557" max="2557" width="14.5703125" customWidth="1"/>
    <col min="2558" max="2558" width="0.85546875" customWidth="1"/>
    <col min="2559" max="2559" width="11.85546875" customWidth="1"/>
    <col min="2560" max="2560" width="11.7109375" customWidth="1"/>
    <col min="2561" max="2561" width="12" customWidth="1"/>
    <col min="2562" max="2562" width="12.5703125" customWidth="1"/>
    <col min="2563" max="2564" width="14.85546875" customWidth="1"/>
    <col min="2565" max="2565" width="14" customWidth="1"/>
    <col min="2566" max="2569" width="16.7109375" customWidth="1"/>
    <col min="2570" max="2570" width="0.42578125" customWidth="1"/>
    <col min="2798" max="2798" width="1" customWidth="1"/>
    <col min="2799" max="2799" width="3.7109375" customWidth="1"/>
    <col min="2800" max="2800" width="3.42578125" customWidth="1"/>
    <col min="2801" max="2801" width="2.7109375" customWidth="1"/>
    <col min="2802" max="2802" width="4.5703125" customWidth="1"/>
    <col min="2803" max="2803" width="5.42578125" customWidth="1"/>
    <col min="2804" max="2804" width="4.7109375" customWidth="1"/>
    <col min="2805" max="2805" width="28.140625" customWidth="1"/>
    <col min="2806" max="2806" width="12.7109375" customWidth="1"/>
    <col min="2807" max="2807" width="11.42578125" customWidth="1"/>
    <col min="2808" max="2808" width="14" customWidth="1"/>
    <col min="2809" max="2809" width="12.5703125" customWidth="1"/>
    <col min="2810" max="2811" width="13.140625" customWidth="1"/>
    <col min="2812" max="2812" width="12.7109375" customWidth="1"/>
    <col min="2813" max="2813" width="14.5703125" customWidth="1"/>
    <col min="2814" max="2814" width="0.85546875" customWidth="1"/>
    <col min="2815" max="2815" width="11.85546875" customWidth="1"/>
    <col min="2816" max="2816" width="11.7109375" customWidth="1"/>
    <col min="2817" max="2817" width="12" customWidth="1"/>
    <col min="2818" max="2818" width="12.5703125" customWidth="1"/>
    <col min="2819" max="2820" width="14.85546875" customWidth="1"/>
    <col min="2821" max="2821" width="14" customWidth="1"/>
    <col min="2822" max="2825" width="16.7109375" customWidth="1"/>
    <col min="2826" max="2826" width="0.42578125" customWidth="1"/>
    <col min="3054" max="3054" width="1" customWidth="1"/>
    <col min="3055" max="3055" width="3.7109375" customWidth="1"/>
    <col min="3056" max="3056" width="3.42578125" customWidth="1"/>
    <col min="3057" max="3057" width="2.7109375" customWidth="1"/>
    <col min="3058" max="3058" width="4.5703125" customWidth="1"/>
    <col min="3059" max="3059" width="5.42578125" customWidth="1"/>
    <col min="3060" max="3060" width="4.7109375" customWidth="1"/>
    <col min="3061" max="3061" width="28.140625" customWidth="1"/>
    <col min="3062" max="3062" width="12.7109375" customWidth="1"/>
    <col min="3063" max="3063" width="11.42578125" customWidth="1"/>
    <col min="3064" max="3064" width="14" customWidth="1"/>
    <col min="3065" max="3065" width="12.5703125" customWidth="1"/>
    <col min="3066" max="3067" width="13.140625" customWidth="1"/>
    <col min="3068" max="3068" width="12.7109375" customWidth="1"/>
    <col min="3069" max="3069" width="14.5703125" customWidth="1"/>
    <col min="3070" max="3070" width="0.85546875" customWidth="1"/>
    <col min="3071" max="3071" width="11.85546875" customWidth="1"/>
    <col min="3072" max="3072" width="11.7109375" customWidth="1"/>
    <col min="3073" max="3073" width="12" customWidth="1"/>
    <col min="3074" max="3074" width="12.5703125" customWidth="1"/>
    <col min="3075" max="3076" width="14.85546875" customWidth="1"/>
    <col min="3077" max="3077" width="14" customWidth="1"/>
    <col min="3078" max="3081" width="16.7109375" customWidth="1"/>
    <col min="3082" max="3082" width="0.42578125" customWidth="1"/>
    <col min="3310" max="3310" width="1" customWidth="1"/>
    <col min="3311" max="3311" width="3.7109375" customWidth="1"/>
    <col min="3312" max="3312" width="3.42578125" customWidth="1"/>
    <col min="3313" max="3313" width="2.7109375" customWidth="1"/>
    <col min="3314" max="3314" width="4.5703125" customWidth="1"/>
    <col min="3315" max="3315" width="5.42578125" customWidth="1"/>
    <col min="3316" max="3316" width="4.7109375" customWidth="1"/>
    <col min="3317" max="3317" width="28.140625" customWidth="1"/>
    <col min="3318" max="3318" width="12.7109375" customWidth="1"/>
    <col min="3319" max="3319" width="11.42578125" customWidth="1"/>
    <col min="3320" max="3320" width="14" customWidth="1"/>
    <col min="3321" max="3321" width="12.5703125" customWidth="1"/>
    <col min="3322" max="3323" width="13.140625" customWidth="1"/>
    <col min="3324" max="3324" width="12.7109375" customWidth="1"/>
    <col min="3325" max="3325" width="14.5703125" customWidth="1"/>
    <col min="3326" max="3326" width="0.85546875" customWidth="1"/>
    <col min="3327" max="3327" width="11.85546875" customWidth="1"/>
    <col min="3328" max="3328" width="11.7109375" customWidth="1"/>
    <col min="3329" max="3329" width="12" customWidth="1"/>
    <col min="3330" max="3330" width="12.5703125" customWidth="1"/>
    <col min="3331" max="3332" width="14.85546875" customWidth="1"/>
    <col min="3333" max="3333" width="14" customWidth="1"/>
    <col min="3334" max="3337" width="16.7109375" customWidth="1"/>
    <col min="3338" max="3338" width="0.42578125" customWidth="1"/>
    <col min="3566" max="3566" width="1" customWidth="1"/>
    <col min="3567" max="3567" width="3.7109375" customWidth="1"/>
    <col min="3568" max="3568" width="3.42578125" customWidth="1"/>
    <col min="3569" max="3569" width="2.7109375" customWidth="1"/>
    <col min="3570" max="3570" width="4.5703125" customWidth="1"/>
    <col min="3571" max="3571" width="5.42578125" customWidth="1"/>
    <col min="3572" max="3572" width="4.7109375" customWidth="1"/>
    <col min="3573" max="3573" width="28.140625" customWidth="1"/>
    <col min="3574" max="3574" width="12.7109375" customWidth="1"/>
    <col min="3575" max="3575" width="11.42578125" customWidth="1"/>
    <col min="3576" max="3576" width="14" customWidth="1"/>
    <col min="3577" max="3577" width="12.5703125" customWidth="1"/>
    <col min="3578" max="3579" width="13.140625" customWidth="1"/>
    <col min="3580" max="3580" width="12.7109375" customWidth="1"/>
    <col min="3581" max="3581" width="14.5703125" customWidth="1"/>
    <col min="3582" max="3582" width="0.85546875" customWidth="1"/>
    <col min="3583" max="3583" width="11.85546875" customWidth="1"/>
    <col min="3584" max="3584" width="11.7109375" customWidth="1"/>
    <col min="3585" max="3585" width="12" customWidth="1"/>
    <col min="3586" max="3586" width="12.5703125" customWidth="1"/>
    <col min="3587" max="3588" width="14.85546875" customWidth="1"/>
    <col min="3589" max="3589" width="14" customWidth="1"/>
    <col min="3590" max="3593" width="16.7109375" customWidth="1"/>
    <col min="3594" max="3594" width="0.42578125" customWidth="1"/>
    <col min="3822" max="3822" width="1" customWidth="1"/>
    <col min="3823" max="3823" width="3.7109375" customWidth="1"/>
    <col min="3824" max="3824" width="3.42578125" customWidth="1"/>
    <col min="3825" max="3825" width="2.7109375" customWidth="1"/>
    <col min="3826" max="3826" width="4.5703125" customWidth="1"/>
    <col min="3827" max="3827" width="5.42578125" customWidth="1"/>
    <col min="3828" max="3828" width="4.7109375" customWidth="1"/>
    <col min="3829" max="3829" width="28.140625" customWidth="1"/>
    <col min="3830" max="3830" width="12.7109375" customWidth="1"/>
    <col min="3831" max="3831" width="11.42578125" customWidth="1"/>
    <col min="3832" max="3832" width="14" customWidth="1"/>
    <col min="3833" max="3833" width="12.5703125" customWidth="1"/>
    <col min="3834" max="3835" width="13.140625" customWidth="1"/>
    <col min="3836" max="3836" width="12.7109375" customWidth="1"/>
    <col min="3837" max="3837" width="14.5703125" customWidth="1"/>
    <col min="3838" max="3838" width="0.85546875" customWidth="1"/>
    <col min="3839" max="3839" width="11.85546875" customWidth="1"/>
    <col min="3840" max="3840" width="11.7109375" customWidth="1"/>
    <col min="3841" max="3841" width="12" customWidth="1"/>
    <col min="3842" max="3842" width="12.5703125" customWidth="1"/>
    <col min="3843" max="3844" width="14.85546875" customWidth="1"/>
    <col min="3845" max="3845" width="14" customWidth="1"/>
    <col min="3846" max="3849" width="16.7109375" customWidth="1"/>
    <col min="3850" max="3850" width="0.42578125" customWidth="1"/>
    <col min="4078" max="4078" width="1" customWidth="1"/>
    <col min="4079" max="4079" width="3.7109375" customWidth="1"/>
    <col min="4080" max="4080" width="3.42578125" customWidth="1"/>
    <col min="4081" max="4081" width="2.7109375" customWidth="1"/>
    <col min="4082" max="4082" width="4.5703125" customWidth="1"/>
    <col min="4083" max="4083" width="5.42578125" customWidth="1"/>
    <col min="4084" max="4084" width="4.7109375" customWidth="1"/>
    <col min="4085" max="4085" width="28.140625" customWidth="1"/>
    <col min="4086" max="4086" width="12.7109375" customWidth="1"/>
    <col min="4087" max="4087" width="11.42578125" customWidth="1"/>
    <col min="4088" max="4088" width="14" customWidth="1"/>
    <col min="4089" max="4089" width="12.5703125" customWidth="1"/>
    <col min="4090" max="4091" width="13.140625" customWidth="1"/>
    <col min="4092" max="4092" width="12.7109375" customWidth="1"/>
    <col min="4093" max="4093" width="14.5703125" customWidth="1"/>
    <col min="4094" max="4094" width="0.85546875" customWidth="1"/>
    <col min="4095" max="4095" width="11.85546875" customWidth="1"/>
    <col min="4096" max="4096" width="11.7109375" customWidth="1"/>
    <col min="4097" max="4097" width="12" customWidth="1"/>
    <col min="4098" max="4098" width="12.5703125" customWidth="1"/>
    <col min="4099" max="4100" width="14.85546875" customWidth="1"/>
    <col min="4101" max="4101" width="14" customWidth="1"/>
    <col min="4102" max="4105" width="16.7109375" customWidth="1"/>
    <col min="4106" max="4106" width="0.42578125" customWidth="1"/>
    <col min="4334" max="4334" width="1" customWidth="1"/>
    <col min="4335" max="4335" width="3.7109375" customWidth="1"/>
    <col min="4336" max="4336" width="3.42578125" customWidth="1"/>
    <col min="4337" max="4337" width="2.7109375" customWidth="1"/>
    <col min="4338" max="4338" width="4.5703125" customWidth="1"/>
    <col min="4339" max="4339" width="5.42578125" customWidth="1"/>
    <col min="4340" max="4340" width="4.7109375" customWidth="1"/>
    <col min="4341" max="4341" width="28.140625" customWidth="1"/>
    <col min="4342" max="4342" width="12.7109375" customWidth="1"/>
    <col min="4343" max="4343" width="11.42578125" customWidth="1"/>
    <col min="4344" max="4344" width="14" customWidth="1"/>
    <col min="4345" max="4345" width="12.5703125" customWidth="1"/>
    <col min="4346" max="4347" width="13.140625" customWidth="1"/>
    <col min="4348" max="4348" width="12.7109375" customWidth="1"/>
    <col min="4349" max="4349" width="14.5703125" customWidth="1"/>
    <col min="4350" max="4350" width="0.85546875" customWidth="1"/>
    <col min="4351" max="4351" width="11.85546875" customWidth="1"/>
    <col min="4352" max="4352" width="11.7109375" customWidth="1"/>
    <col min="4353" max="4353" width="12" customWidth="1"/>
    <col min="4354" max="4354" width="12.5703125" customWidth="1"/>
    <col min="4355" max="4356" width="14.85546875" customWidth="1"/>
    <col min="4357" max="4357" width="14" customWidth="1"/>
    <col min="4358" max="4361" width="16.7109375" customWidth="1"/>
    <col min="4362" max="4362" width="0.42578125" customWidth="1"/>
    <col min="4590" max="4590" width="1" customWidth="1"/>
    <col min="4591" max="4591" width="3.7109375" customWidth="1"/>
    <col min="4592" max="4592" width="3.42578125" customWidth="1"/>
    <col min="4593" max="4593" width="2.7109375" customWidth="1"/>
    <col min="4594" max="4594" width="4.5703125" customWidth="1"/>
    <col min="4595" max="4595" width="5.42578125" customWidth="1"/>
    <col min="4596" max="4596" width="4.7109375" customWidth="1"/>
    <col min="4597" max="4597" width="28.140625" customWidth="1"/>
    <col min="4598" max="4598" width="12.7109375" customWidth="1"/>
    <col min="4599" max="4599" width="11.42578125" customWidth="1"/>
    <col min="4600" max="4600" width="14" customWidth="1"/>
    <col min="4601" max="4601" width="12.5703125" customWidth="1"/>
    <col min="4602" max="4603" width="13.140625" customWidth="1"/>
    <col min="4604" max="4604" width="12.7109375" customWidth="1"/>
    <col min="4605" max="4605" width="14.5703125" customWidth="1"/>
    <col min="4606" max="4606" width="0.85546875" customWidth="1"/>
    <col min="4607" max="4607" width="11.85546875" customWidth="1"/>
    <col min="4608" max="4608" width="11.7109375" customWidth="1"/>
    <col min="4609" max="4609" width="12" customWidth="1"/>
    <col min="4610" max="4610" width="12.5703125" customWidth="1"/>
    <col min="4611" max="4612" width="14.85546875" customWidth="1"/>
    <col min="4613" max="4613" width="14" customWidth="1"/>
    <col min="4614" max="4617" width="16.7109375" customWidth="1"/>
    <col min="4618" max="4618" width="0.42578125" customWidth="1"/>
    <col min="4846" max="4846" width="1" customWidth="1"/>
    <col min="4847" max="4847" width="3.7109375" customWidth="1"/>
    <col min="4848" max="4848" width="3.42578125" customWidth="1"/>
    <col min="4849" max="4849" width="2.7109375" customWidth="1"/>
    <col min="4850" max="4850" width="4.5703125" customWidth="1"/>
    <col min="4851" max="4851" width="5.42578125" customWidth="1"/>
    <col min="4852" max="4852" width="4.7109375" customWidth="1"/>
    <col min="4853" max="4853" width="28.140625" customWidth="1"/>
    <col min="4854" max="4854" width="12.7109375" customWidth="1"/>
    <col min="4855" max="4855" width="11.42578125" customWidth="1"/>
    <col min="4856" max="4856" width="14" customWidth="1"/>
    <col min="4857" max="4857" width="12.5703125" customWidth="1"/>
    <col min="4858" max="4859" width="13.140625" customWidth="1"/>
    <col min="4860" max="4860" width="12.7109375" customWidth="1"/>
    <col min="4861" max="4861" width="14.5703125" customWidth="1"/>
    <col min="4862" max="4862" width="0.85546875" customWidth="1"/>
    <col min="4863" max="4863" width="11.85546875" customWidth="1"/>
    <col min="4864" max="4864" width="11.7109375" customWidth="1"/>
    <col min="4865" max="4865" width="12" customWidth="1"/>
    <col min="4866" max="4866" width="12.5703125" customWidth="1"/>
    <col min="4867" max="4868" width="14.85546875" customWidth="1"/>
    <col min="4869" max="4869" width="14" customWidth="1"/>
    <col min="4870" max="4873" width="16.7109375" customWidth="1"/>
    <col min="4874" max="4874" width="0.42578125" customWidth="1"/>
    <col min="5102" max="5102" width="1" customWidth="1"/>
    <col min="5103" max="5103" width="3.7109375" customWidth="1"/>
    <col min="5104" max="5104" width="3.42578125" customWidth="1"/>
    <col min="5105" max="5105" width="2.7109375" customWidth="1"/>
    <col min="5106" max="5106" width="4.5703125" customWidth="1"/>
    <col min="5107" max="5107" width="5.42578125" customWidth="1"/>
    <col min="5108" max="5108" width="4.7109375" customWidth="1"/>
    <col min="5109" max="5109" width="28.140625" customWidth="1"/>
    <col min="5110" max="5110" width="12.7109375" customWidth="1"/>
    <col min="5111" max="5111" width="11.42578125" customWidth="1"/>
    <col min="5112" max="5112" width="14" customWidth="1"/>
    <col min="5113" max="5113" width="12.5703125" customWidth="1"/>
    <col min="5114" max="5115" width="13.140625" customWidth="1"/>
    <col min="5116" max="5116" width="12.7109375" customWidth="1"/>
    <col min="5117" max="5117" width="14.5703125" customWidth="1"/>
    <col min="5118" max="5118" width="0.85546875" customWidth="1"/>
    <col min="5119" max="5119" width="11.85546875" customWidth="1"/>
    <col min="5120" max="5120" width="11.7109375" customWidth="1"/>
    <col min="5121" max="5121" width="12" customWidth="1"/>
    <col min="5122" max="5122" width="12.5703125" customWidth="1"/>
    <col min="5123" max="5124" width="14.85546875" customWidth="1"/>
    <col min="5125" max="5125" width="14" customWidth="1"/>
    <col min="5126" max="5129" width="16.7109375" customWidth="1"/>
    <col min="5130" max="5130" width="0.42578125" customWidth="1"/>
    <col min="5358" max="5358" width="1" customWidth="1"/>
    <col min="5359" max="5359" width="3.7109375" customWidth="1"/>
    <col min="5360" max="5360" width="3.42578125" customWidth="1"/>
    <col min="5361" max="5361" width="2.7109375" customWidth="1"/>
    <col min="5362" max="5362" width="4.5703125" customWidth="1"/>
    <col min="5363" max="5363" width="5.42578125" customWidth="1"/>
    <col min="5364" max="5364" width="4.7109375" customWidth="1"/>
    <col min="5365" max="5365" width="28.140625" customWidth="1"/>
    <col min="5366" max="5366" width="12.7109375" customWidth="1"/>
    <col min="5367" max="5367" width="11.42578125" customWidth="1"/>
    <col min="5368" max="5368" width="14" customWidth="1"/>
    <col min="5369" max="5369" width="12.5703125" customWidth="1"/>
    <col min="5370" max="5371" width="13.140625" customWidth="1"/>
    <col min="5372" max="5372" width="12.7109375" customWidth="1"/>
    <col min="5373" max="5373" width="14.5703125" customWidth="1"/>
    <col min="5374" max="5374" width="0.85546875" customWidth="1"/>
    <col min="5375" max="5375" width="11.85546875" customWidth="1"/>
    <col min="5376" max="5376" width="11.7109375" customWidth="1"/>
    <col min="5377" max="5377" width="12" customWidth="1"/>
    <col min="5378" max="5378" width="12.5703125" customWidth="1"/>
    <col min="5379" max="5380" width="14.85546875" customWidth="1"/>
    <col min="5381" max="5381" width="14" customWidth="1"/>
    <col min="5382" max="5385" width="16.7109375" customWidth="1"/>
    <col min="5386" max="5386" width="0.42578125" customWidth="1"/>
    <col min="5614" max="5614" width="1" customWidth="1"/>
    <col min="5615" max="5615" width="3.7109375" customWidth="1"/>
    <col min="5616" max="5616" width="3.42578125" customWidth="1"/>
    <col min="5617" max="5617" width="2.7109375" customWidth="1"/>
    <col min="5618" max="5618" width="4.5703125" customWidth="1"/>
    <col min="5619" max="5619" width="5.42578125" customWidth="1"/>
    <col min="5620" max="5620" width="4.7109375" customWidth="1"/>
    <col min="5621" max="5621" width="28.140625" customWidth="1"/>
    <col min="5622" max="5622" width="12.7109375" customWidth="1"/>
    <col min="5623" max="5623" width="11.42578125" customWidth="1"/>
    <col min="5624" max="5624" width="14" customWidth="1"/>
    <col min="5625" max="5625" width="12.5703125" customWidth="1"/>
    <col min="5626" max="5627" width="13.140625" customWidth="1"/>
    <col min="5628" max="5628" width="12.7109375" customWidth="1"/>
    <col min="5629" max="5629" width="14.5703125" customWidth="1"/>
    <col min="5630" max="5630" width="0.85546875" customWidth="1"/>
    <col min="5631" max="5631" width="11.85546875" customWidth="1"/>
    <col min="5632" max="5632" width="11.7109375" customWidth="1"/>
    <col min="5633" max="5633" width="12" customWidth="1"/>
    <col min="5634" max="5634" width="12.5703125" customWidth="1"/>
    <col min="5635" max="5636" width="14.85546875" customWidth="1"/>
    <col min="5637" max="5637" width="14" customWidth="1"/>
    <col min="5638" max="5641" width="16.7109375" customWidth="1"/>
    <col min="5642" max="5642" width="0.42578125" customWidth="1"/>
    <col min="5870" max="5870" width="1" customWidth="1"/>
    <col min="5871" max="5871" width="3.7109375" customWidth="1"/>
    <col min="5872" max="5872" width="3.42578125" customWidth="1"/>
    <col min="5873" max="5873" width="2.7109375" customWidth="1"/>
    <col min="5874" max="5874" width="4.5703125" customWidth="1"/>
    <col min="5875" max="5875" width="5.42578125" customWidth="1"/>
    <col min="5876" max="5876" width="4.7109375" customWidth="1"/>
    <col min="5877" max="5877" width="28.140625" customWidth="1"/>
    <col min="5878" max="5878" width="12.7109375" customWidth="1"/>
    <col min="5879" max="5879" width="11.42578125" customWidth="1"/>
    <col min="5880" max="5880" width="14" customWidth="1"/>
    <col min="5881" max="5881" width="12.5703125" customWidth="1"/>
    <col min="5882" max="5883" width="13.140625" customWidth="1"/>
    <col min="5884" max="5884" width="12.7109375" customWidth="1"/>
    <col min="5885" max="5885" width="14.5703125" customWidth="1"/>
    <col min="5886" max="5886" width="0.85546875" customWidth="1"/>
    <col min="5887" max="5887" width="11.85546875" customWidth="1"/>
    <col min="5888" max="5888" width="11.7109375" customWidth="1"/>
    <col min="5889" max="5889" width="12" customWidth="1"/>
    <col min="5890" max="5890" width="12.5703125" customWidth="1"/>
    <col min="5891" max="5892" width="14.85546875" customWidth="1"/>
    <col min="5893" max="5893" width="14" customWidth="1"/>
    <col min="5894" max="5897" width="16.7109375" customWidth="1"/>
    <col min="5898" max="5898" width="0.42578125" customWidth="1"/>
    <col min="6126" max="6126" width="1" customWidth="1"/>
    <col min="6127" max="6127" width="3.7109375" customWidth="1"/>
    <col min="6128" max="6128" width="3.42578125" customWidth="1"/>
    <col min="6129" max="6129" width="2.7109375" customWidth="1"/>
    <col min="6130" max="6130" width="4.5703125" customWidth="1"/>
    <col min="6131" max="6131" width="5.42578125" customWidth="1"/>
    <col min="6132" max="6132" width="4.7109375" customWidth="1"/>
    <col min="6133" max="6133" width="28.140625" customWidth="1"/>
    <col min="6134" max="6134" width="12.7109375" customWidth="1"/>
    <col min="6135" max="6135" width="11.42578125" customWidth="1"/>
    <col min="6136" max="6136" width="14" customWidth="1"/>
    <col min="6137" max="6137" width="12.5703125" customWidth="1"/>
    <col min="6138" max="6139" width="13.140625" customWidth="1"/>
    <col min="6140" max="6140" width="12.7109375" customWidth="1"/>
    <col min="6141" max="6141" width="14.5703125" customWidth="1"/>
    <col min="6142" max="6142" width="0.85546875" customWidth="1"/>
    <col min="6143" max="6143" width="11.85546875" customWidth="1"/>
    <col min="6144" max="6144" width="11.7109375" customWidth="1"/>
    <col min="6145" max="6145" width="12" customWidth="1"/>
    <col min="6146" max="6146" width="12.5703125" customWidth="1"/>
    <col min="6147" max="6148" width="14.85546875" customWidth="1"/>
    <col min="6149" max="6149" width="14" customWidth="1"/>
    <col min="6150" max="6153" width="16.7109375" customWidth="1"/>
    <col min="6154" max="6154" width="0.42578125" customWidth="1"/>
    <col min="6382" max="6382" width="1" customWidth="1"/>
    <col min="6383" max="6383" width="3.7109375" customWidth="1"/>
    <col min="6384" max="6384" width="3.42578125" customWidth="1"/>
    <col min="6385" max="6385" width="2.7109375" customWidth="1"/>
    <col min="6386" max="6386" width="4.5703125" customWidth="1"/>
    <col min="6387" max="6387" width="5.42578125" customWidth="1"/>
    <col min="6388" max="6388" width="4.7109375" customWidth="1"/>
    <col min="6389" max="6389" width="28.140625" customWidth="1"/>
    <col min="6390" max="6390" width="12.7109375" customWidth="1"/>
    <col min="6391" max="6391" width="11.42578125" customWidth="1"/>
    <col min="6392" max="6392" width="14" customWidth="1"/>
    <col min="6393" max="6393" width="12.5703125" customWidth="1"/>
    <col min="6394" max="6395" width="13.140625" customWidth="1"/>
    <col min="6396" max="6396" width="12.7109375" customWidth="1"/>
    <col min="6397" max="6397" width="14.5703125" customWidth="1"/>
    <col min="6398" max="6398" width="0.85546875" customWidth="1"/>
    <col min="6399" max="6399" width="11.85546875" customWidth="1"/>
    <col min="6400" max="6400" width="11.7109375" customWidth="1"/>
    <col min="6401" max="6401" width="12" customWidth="1"/>
    <col min="6402" max="6402" width="12.5703125" customWidth="1"/>
    <col min="6403" max="6404" width="14.85546875" customWidth="1"/>
    <col min="6405" max="6405" width="14" customWidth="1"/>
    <col min="6406" max="6409" width="16.7109375" customWidth="1"/>
    <col min="6410" max="6410" width="0.42578125" customWidth="1"/>
    <col min="6638" max="6638" width="1" customWidth="1"/>
    <col min="6639" max="6639" width="3.7109375" customWidth="1"/>
    <col min="6640" max="6640" width="3.42578125" customWidth="1"/>
    <col min="6641" max="6641" width="2.7109375" customWidth="1"/>
    <col min="6642" max="6642" width="4.5703125" customWidth="1"/>
    <col min="6643" max="6643" width="5.42578125" customWidth="1"/>
    <col min="6644" max="6644" width="4.7109375" customWidth="1"/>
    <col min="6645" max="6645" width="28.140625" customWidth="1"/>
    <col min="6646" max="6646" width="12.7109375" customWidth="1"/>
    <col min="6647" max="6647" width="11.42578125" customWidth="1"/>
    <col min="6648" max="6648" width="14" customWidth="1"/>
    <col min="6649" max="6649" width="12.5703125" customWidth="1"/>
    <col min="6650" max="6651" width="13.140625" customWidth="1"/>
    <col min="6652" max="6652" width="12.7109375" customWidth="1"/>
    <col min="6653" max="6653" width="14.5703125" customWidth="1"/>
    <col min="6654" max="6654" width="0.85546875" customWidth="1"/>
    <col min="6655" max="6655" width="11.85546875" customWidth="1"/>
    <col min="6656" max="6656" width="11.7109375" customWidth="1"/>
    <col min="6657" max="6657" width="12" customWidth="1"/>
    <col min="6658" max="6658" width="12.5703125" customWidth="1"/>
    <col min="6659" max="6660" width="14.85546875" customWidth="1"/>
    <col min="6661" max="6661" width="14" customWidth="1"/>
    <col min="6662" max="6665" width="16.7109375" customWidth="1"/>
    <col min="6666" max="6666" width="0.42578125" customWidth="1"/>
    <col min="6894" max="6894" width="1" customWidth="1"/>
    <col min="6895" max="6895" width="3.7109375" customWidth="1"/>
    <col min="6896" max="6896" width="3.42578125" customWidth="1"/>
    <col min="6897" max="6897" width="2.7109375" customWidth="1"/>
    <col min="6898" max="6898" width="4.5703125" customWidth="1"/>
    <col min="6899" max="6899" width="5.42578125" customWidth="1"/>
    <col min="6900" max="6900" width="4.7109375" customWidth="1"/>
    <col min="6901" max="6901" width="28.140625" customWidth="1"/>
    <col min="6902" max="6902" width="12.7109375" customWidth="1"/>
    <col min="6903" max="6903" width="11.42578125" customWidth="1"/>
    <col min="6904" max="6904" width="14" customWidth="1"/>
    <col min="6905" max="6905" width="12.5703125" customWidth="1"/>
    <col min="6906" max="6907" width="13.140625" customWidth="1"/>
    <col min="6908" max="6908" width="12.7109375" customWidth="1"/>
    <col min="6909" max="6909" width="14.5703125" customWidth="1"/>
    <col min="6910" max="6910" width="0.85546875" customWidth="1"/>
    <col min="6911" max="6911" width="11.85546875" customWidth="1"/>
    <col min="6912" max="6912" width="11.7109375" customWidth="1"/>
    <col min="6913" max="6913" width="12" customWidth="1"/>
    <col min="6914" max="6914" width="12.5703125" customWidth="1"/>
    <col min="6915" max="6916" width="14.85546875" customWidth="1"/>
    <col min="6917" max="6917" width="14" customWidth="1"/>
    <col min="6918" max="6921" width="16.7109375" customWidth="1"/>
    <col min="6922" max="6922" width="0.42578125" customWidth="1"/>
    <col min="7150" max="7150" width="1" customWidth="1"/>
    <col min="7151" max="7151" width="3.7109375" customWidth="1"/>
    <col min="7152" max="7152" width="3.42578125" customWidth="1"/>
    <col min="7153" max="7153" width="2.7109375" customWidth="1"/>
    <col min="7154" max="7154" width="4.5703125" customWidth="1"/>
    <col min="7155" max="7155" width="5.42578125" customWidth="1"/>
    <col min="7156" max="7156" width="4.7109375" customWidth="1"/>
    <col min="7157" max="7157" width="28.140625" customWidth="1"/>
    <col min="7158" max="7158" width="12.7109375" customWidth="1"/>
    <col min="7159" max="7159" width="11.42578125" customWidth="1"/>
    <col min="7160" max="7160" width="14" customWidth="1"/>
    <col min="7161" max="7161" width="12.5703125" customWidth="1"/>
    <col min="7162" max="7163" width="13.140625" customWidth="1"/>
    <col min="7164" max="7164" width="12.7109375" customWidth="1"/>
    <col min="7165" max="7165" width="14.5703125" customWidth="1"/>
    <col min="7166" max="7166" width="0.85546875" customWidth="1"/>
    <col min="7167" max="7167" width="11.85546875" customWidth="1"/>
    <col min="7168" max="7168" width="11.7109375" customWidth="1"/>
    <col min="7169" max="7169" width="12" customWidth="1"/>
    <col min="7170" max="7170" width="12.5703125" customWidth="1"/>
    <col min="7171" max="7172" width="14.85546875" customWidth="1"/>
    <col min="7173" max="7173" width="14" customWidth="1"/>
    <col min="7174" max="7177" width="16.7109375" customWidth="1"/>
    <col min="7178" max="7178" width="0.42578125" customWidth="1"/>
    <col min="7406" max="7406" width="1" customWidth="1"/>
    <col min="7407" max="7407" width="3.7109375" customWidth="1"/>
    <col min="7408" max="7408" width="3.42578125" customWidth="1"/>
    <col min="7409" max="7409" width="2.7109375" customWidth="1"/>
    <col min="7410" max="7410" width="4.5703125" customWidth="1"/>
    <col min="7411" max="7411" width="5.42578125" customWidth="1"/>
    <col min="7412" max="7412" width="4.7109375" customWidth="1"/>
    <col min="7413" max="7413" width="28.140625" customWidth="1"/>
    <col min="7414" max="7414" width="12.7109375" customWidth="1"/>
    <col min="7415" max="7415" width="11.42578125" customWidth="1"/>
    <col min="7416" max="7416" width="14" customWidth="1"/>
    <col min="7417" max="7417" width="12.5703125" customWidth="1"/>
    <col min="7418" max="7419" width="13.140625" customWidth="1"/>
    <col min="7420" max="7420" width="12.7109375" customWidth="1"/>
    <col min="7421" max="7421" width="14.5703125" customWidth="1"/>
    <col min="7422" max="7422" width="0.85546875" customWidth="1"/>
    <col min="7423" max="7423" width="11.85546875" customWidth="1"/>
    <col min="7424" max="7424" width="11.7109375" customWidth="1"/>
    <col min="7425" max="7425" width="12" customWidth="1"/>
    <col min="7426" max="7426" width="12.5703125" customWidth="1"/>
    <col min="7427" max="7428" width="14.85546875" customWidth="1"/>
    <col min="7429" max="7429" width="14" customWidth="1"/>
    <col min="7430" max="7433" width="16.7109375" customWidth="1"/>
    <col min="7434" max="7434" width="0.42578125" customWidth="1"/>
    <col min="7662" max="7662" width="1" customWidth="1"/>
    <col min="7663" max="7663" width="3.7109375" customWidth="1"/>
    <col min="7664" max="7664" width="3.42578125" customWidth="1"/>
    <col min="7665" max="7665" width="2.7109375" customWidth="1"/>
    <col min="7666" max="7666" width="4.5703125" customWidth="1"/>
    <col min="7667" max="7667" width="5.42578125" customWidth="1"/>
    <col min="7668" max="7668" width="4.7109375" customWidth="1"/>
    <col min="7669" max="7669" width="28.140625" customWidth="1"/>
    <col min="7670" max="7670" width="12.7109375" customWidth="1"/>
    <col min="7671" max="7671" width="11.42578125" customWidth="1"/>
    <col min="7672" max="7672" width="14" customWidth="1"/>
    <col min="7673" max="7673" width="12.5703125" customWidth="1"/>
    <col min="7674" max="7675" width="13.140625" customWidth="1"/>
    <col min="7676" max="7676" width="12.7109375" customWidth="1"/>
    <col min="7677" max="7677" width="14.5703125" customWidth="1"/>
    <col min="7678" max="7678" width="0.85546875" customWidth="1"/>
    <col min="7679" max="7679" width="11.85546875" customWidth="1"/>
    <col min="7680" max="7680" width="11.7109375" customWidth="1"/>
    <col min="7681" max="7681" width="12" customWidth="1"/>
    <col min="7682" max="7682" width="12.5703125" customWidth="1"/>
    <col min="7683" max="7684" width="14.85546875" customWidth="1"/>
    <col min="7685" max="7685" width="14" customWidth="1"/>
    <col min="7686" max="7689" width="16.7109375" customWidth="1"/>
    <col min="7690" max="7690" width="0.42578125" customWidth="1"/>
    <col min="7918" max="7918" width="1" customWidth="1"/>
    <col min="7919" max="7919" width="3.7109375" customWidth="1"/>
    <col min="7920" max="7920" width="3.42578125" customWidth="1"/>
    <col min="7921" max="7921" width="2.7109375" customWidth="1"/>
    <col min="7922" max="7922" width="4.5703125" customWidth="1"/>
    <col min="7923" max="7923" width="5.42578125" customWidth="1"/>
    <col min="7924" max="7924" width="4.7109375" customWidth="1"/>
    <col min="7925" max="7925" width="28.140625" customWidth="1"/>
    <col min="7926" max="7926" width="12.7109375" customWidth="1"/>
    <col min="7927" max="7927" width="11.42578125" customWidth="1"/>
    <col min="7928" max="7928" width="14" customWidth="1"/>
    <col min="7929" max="7929" width="12.5703125" customWidth="1"/>
    <col min="7930" max="7931" width="13.140625" customWidth="1"/>
    <col min="7932" max="7932" width="12.7109375" customWidth="1"/>
    <col min="7933" max="7933" width="14.5703125" customWidth="1"/>
    <col min="7934" max="7934" width="0.85546875" customWidth="1"/>
    <col min="7935" max="7935" width="11.85546875" customWidth="1"/>
    <col min="7936" max="7936" width="11.7109375" customWidth="1"/>
    <col min="7937" max="7937" width="12" customWidth="1"/>
    <col min="7938" max="7938" width="12.5703125" customWidth="1"/>
    <col min="7939" max="7940" width="14.85546875" customWidth="1"/>
    <col min="7941" max="7941" width="14" customWidth="1"/>
    <col min="7942" max="7945" width="16.7109375" customWidth="1"/>
    <col min="7946" max="7946" width="0.42578125" customWidth="1"/>
    <col min="8174" max="8174" width="1" customWidth="1"/>
    <col min="8175" max="8175" width="3.7109375" customWidth="1"/>
    <col min="8176" max="8176" width="3.42578125" customWidth="1"/>
    <col min="8177" max="8177" width="2.7109375" customWidth="1"/>
    <col min="8178" max="8178" width="4.5703125" customWidth="1"/>
    <col min="8179" max="8179" width="5.42578125" customWidth="1"/>
    <col min="8180" max="8180" width="4.7109375" customWidth="1"/>
    <col min="8181" max="8181" width="28.140625" customWidth="1"/>
    <col min="8182" max="8182" width="12.7109375" customWidth="1"/>
    <col min="8183" max="8183" width="11.42578125" customWidth="1"/>
    <col min="8184" max="8184" width="14" customWidth="1"/>
    <col min="8185" max="8185" width="12.5703125" customWidth="1"/>
    <col min="8186" max="8187" width="13.140625" customWidth="1"/>
    <col min="8188" max="8188" width="12.7109375" customWidth="1"/>
    <col min="8189" max="8189" width="14.5703125" customWidth="1"/>
    <col min="8190" max="8190" width="0.85546875" customWidth="1"/>
    <col min="8191" max="8191" width="11.85546875" customWidth="1"/>
    <col min="8192" max="8192" width="11.7109375" customWidth="1"/>
    <col min="8193" max="8193" width="12" customWidth="1"/>
    <col min="8194" max="8194" width="12.5703125" customWidth="1"/>
    <col min="8195" max="8196" width="14.85546875" customWidth="1"/>
    <col min="8197" max="8197" width="14" customWidth="1"/>
    <col min="8198" max="8201" width="16.7109375" customWidth="1"/>
    <col min="8202" max="8202" width="0.42578125" customWidth="1"/>
    <col min="8430" max="8430" width="1" customWidth="1"/>
    <col min="8431" max="8431" width="3.7109375" customWidth="1"/>
    <col min="8432" max="8432" width="3.42578125" customWidth="1"/>
    <col min="8433" max="8433" width="2.7109375" customWidth="1"/>
    <col min="8434" max="8434" width="4.5703125" customWidth="1"/>
    <col min="8435" max="8435" width="5.42578125" customWidth="1"/>
    <col min="8436" max="8436" width="4.7109375" customWidth="1"/>
    <col min="8437" max="8437" width="28.140625" customWidth="1"/>
    <col min="8438" max="8438" width="12.7109375" customWidth="1"/>
    <col min="8439" max="8439" width="11.42578125" customWidth="1"/>
    <col min="8440" max="8440" width="14" customWidth="1"/>
    <col min="8441" max="8441" width="12.5703125" customWidth="1"/>
    <col min="8442" max="8443" width="13.140625" customWidth="1"/>
    <col min="8444" max="8444" width="12.7109375" customWidth="1"/>
    <col min="8445" max="8445" width="14.5703125" customWidth="1"/>
    <col min="8446" max="8446" width="0.85546875" customWidth="1"/>
    <col min="8447" max="8447" width="11.85546875" customWidth="1"/>
    <col min="8448" max="8448" width="11.7109375" customWidth="1"/>
    <col min="8449" max="8449" width="12" customWidth="1"/>
    <col min="8450" max="8450" width="12.5703125" customWidth="1"/>
    <col min="8451" max="8452" width="14.85546875" customWidth="1"/>
    <col min="8453" max="8453" width="14" customWidth="1"/>
    <col min="8454" max="8457" width="16.7109375" customWidth="1"/>
    <col min="8458" max="8458" width="0.42578125" customWidth="1"/>
    <col min="8686" max="8686" width="1" customWidth="1"/>
    <col min="8687" max="8687" width="3.7109375" customWidth="1"/>
    <col min="8688" max="8688" width="3.42578125" customWidth="1"/>
    <col min="8689" max="8689" width="2.7109375" customWidth="1"/>
    <col min="8690" max="8690" width="4.5703125" customWidth="1"/>
    <col min="8691" max="8691" width="5.42578125" customWidth="1"/>
    <col min="8692" max="8692" width="4.7109375" customWidth="1"/>
    <col min="8693" max="8693" width="28.140625" customWidth="1"/>
    <col min="8694" max="8694" width="12.7109375" customWidth="1"/>
    <col min="8695" max="8695" width="11.42578125" customWidth="1"/>
    <col min="8696" max="8696" width="14" customWidth="1"/>
    <col min="8697" max="8697" width="12.5703125" customWidth="1"/>
    <col min="8698" max="8699" width="13.140625" customWidth="1"/>
    <col min="8700" max="8700" width="12.7109375" customWidth="1"/>
    <col min="8701" max="8701" width="14.5703125" customWidth="1"/>
    <col min="8702" max="8702" width="0.85546875" customWidth="1"/>
    <col min="8703" max="8703" width="11.85546875" customWidth="1"/>
    <col min="8704" max="8704" width="11.7109375" customWidth="1"/>
    <col min="8705" max="8705" width="12" customWidth="1"/>
    <col min="8706" max="8706" width="12.5703125" customWidth="1"/>
    <col min="8707" max="8708" width="14.85546875" customWidth="1"/>
    <col min="8709" max="8709" width="14" customWidth="1"/>
    <col min="8710" max="8713" width="16.7109375" customWidth="1"/>
    <col min="8714" max="8714" width="0.42578125" customWidth="1"/>
    <col min="8942" max="8942" width="1" customWidth="1"/>
    <col min="8943" max="8943" width="3.7109375" customWidth="1"/>
    <col min="8944" max="8944" width="3.42578125" customWidth="1"/>
    <col min="8945" max="8945" width="2.7109375" customWidth="1"/>
    <col min="8946" max="8946" width="4.5703125" customWidth="1"/>
    <col min="8947" max="8947" width="5.42578125" customWidth="1"/>
    <col min="8948" max="8948" width="4.7109375" customWidth="1"/>
    <col min="8949" max="8949" width="28.140625" customWidth="1"/>
    <col min="8950" max="8950" width="12.7109375" customWidth="1"/>
    <col min="8951" max="8951" width="11.42578125" customWidth="1"/>
    <col min="8952" max="8952" width="14" customWidth="1"/>
    <col min="8953" max="8953" width="12.5703125" customWidth="1"/>
    <col min="8954" max="8955" width="13.140625" customWidth="1"/>
    <col min="8956" max="8956" width="12.7109375" customWidth="1"/>
    <col min="8957" max="8957" width="14.5703125" customWidth="1"/>
    <col min="8958" max="8958" width="0.85546875" customWidth="1"/>
    <col min="8959" max="8959" width="11.85546875" customWidth="1"/>
    <col min="8960" max="8960" width="11.7109375" customWidth="1"/>
    <col min="8961" max="8961" width="12" customWidth="1"/>
    <col min="8962" max="8962" width="12.5703125" customWidth="1"/>
    <col min="8963" max="8964" width="14.85546875" customWidth="1"/>
    <col min="8965" max="8965" width="14" customWidth="1"/>
    <col min="8966" max="8969" width="16.7109375" customWidth="1"/>
    <col min="8970" max="8970" width="0.42578125" customWidth="1"/>
    <col min="9198" max="9198" width="1" customWidth="1"/>
    <col min="9199" max="9199" width="3.7109375" customWidth="1"/>
    <col min="9200" max="9200" width="3.42578125" customWidth="1"/>
    <col min="9201" max="9201" width="2.7109375" customWidth="1"/>
    <col min="9202" max="9202" width="4.5703125" customWidth="1"/>
    <col min="9203" max="9203" width="5.42578125" customWidth="1"/>
    <col min="9204" max="9204" width="4.7109375" customWidth="1"/>
    <col min="9205" max="9205" width="28.140625" customWidth="1"/>
    <col min="9206" max="9206" width="12.7109375" customWidth="1"/>
    <col min="9207" max="9207" width="11.42578125" customWidth="1"/>
    <col min="9208" max="9208" width="14" customWidth="1"/>
    <col min="9209" max="9209" width="12.5703125" customWidth="1"/>
    <col min="9210" max="9211" width="13.140625" customWidth="1"/>
    <col min="9212" max="9212" width="12.7109375" customWidth="1"/>
    <col min="9213" max="9213" width="14.5703125" customWidth="1"/>
    <col min="9214" max="9214" width="0.85546875" customWidth="1"/>
    <col min="9215" max="9215" width="11.85546875" customWidth="1"/>
    <col min="9216" max="9216" width="11.7109375" customWidth="1"/>
    <col min="9217" max="9217" width="12" customWidth="1"/>
    <col min="9218" max="9218" width="12.5703125" customWidth="1"/>
    <col min="9219" max="9220" width="14.85546875" customWidth="1"/>
    <col min="9221" max="9221" width="14" customWidth="1"/>
    <col min="9222" max="9225" width="16.7109375" customWidth="1"/>
    <col min="9226" max="9226" width="0.42578125" customWidth="1"/>
    <col min="9454" max="9454" width="1" customWidth="1"/>
    <col min="9455" max="9455" width="3.7109375" customWidth="1"/>
    <col min="9456" max="9456" width="3.42578125" customWidth="1"/>
    <col min="9457" max="9457" width="2.7109375" customWidth="1"/>
    <col min="9458" max="9458" width="4.5703125" customWidth="1"/>
    <col min="9459" max="9459" width="5.42578125" customWidth="1"/>
    <col min="9460" max="9460" width="4.7109375" customWidth="1"/>
    <col min="9461" max="9461" width="28.140625" customWidth="1"/>
    <col min="9462" max="9462" width="12.7109375" customWidth="1"/>
    <col min="9463" max="9463" width="11.42578125" customWidth="1"/>
    <col min="9464" max="9464" width="14" customWidth="1"/>
    <col min="9465" max="9465" width="12.5703125" customWidth="1"/>
    <col min="9466" max="9467" width="13.140625" customWidth="1"/>
    <col min="9468" max="9468" width="12.7109375" customWidth="1"/>
    <col min="9469" max="9469" width="14.5703125" customWidth="1"/>
    <col min="9470" max="9470" width="0.85546875" customWidth="1"/>
    <col min="9471" max="9471" width="11.85546875" customWidth="1"/>
    <col min="9472" max="9472" width="11.7109375" customWidth="1"/>
    <col min="9473" max="9473" width="12" customWidth="1"/>
    <col min="9474" max="9474" width="12.5703125" customWidth="1"/>
    <col min="9475" max="9476" width="14.85546875" customWidth="1"/>
    <col min="9477" max="9477" width="14" customWidth="1"/>
    <col min="9478" max="9481" width="16.7109375" customWidth="1"/>
    <col min="9482" max="9482" width="0.42578125" customWidth="1"/>
    <col min="9710" max="9710" width="1" customWidth="1"/>
    <col min="9711" max="9711" width="3.7109375" customWidth="1"/>
    <col min="9712" max="9712" width="3.42578125" customWidth="1"/>
    <col min="9713" max="9713" width="2.7109375" customWidth="1"/>
    <col min="9714" max="9714" width="4.5703125" customWidth="1"/>
    <col min="9715" max="9715" width="5.42578125" customWidth="1"/>
    <col min="9716" max="9716" width="4.7109375" customWidth="1"/>
    <col min="9717" max="9717" width="28.140625" customWidth="1"/>
    <col min="9718" max="9718" width="12.7109375" customWidth="1"/>
    <col min="9719" max="9719" width="11.42578125" customWidth="1"/>
    <col min="9720" max="9720" width="14" customWidth="1"/>
    <col min="9721" max="9721" width="12.5703125" customWidth="1"/>
    <col min="9722" max="9723" width="13.140625" customWidth="1"/>
    <col min="9724" max="9724" width="12.7109375" customWidth="1"/>
    <col min="9725" max="9725" width="14.5703125" customWidth="1"/>
    <col min="9726" max="9726" width="0.85546875" customWidth="1"/>
    <col min="9727" max="9727" width="11.85546875" customWidth="1"/>
    <col min="9728" max="9728" width="11.7109375" customWidth="1"/>
    <col min="9729" max="9729" width="12" customWidth="1"/>
    <col min="9730" max="9730" width="12.5703125" customWidth="1"/>
    <col min="9731" max="9732" width="14.85546875" customWidth="1"/>
    <col min="9733" max="9733" width="14" customWidth="1"/>
    <col min="9734" max="9737" width="16.7109375" customWidth="1"/>
    <col min="9738" max="9738" width="0.42578125" customWidth="1"/>
    <col min="9966" max="9966" width="1" customWidth="1"/>
    <col min="9967" max="9967" width="3.7109375" customWidth="1"/>
    <col min="9968" max="9968" width="3.42578125" customWidth="1"/>
    <col min="9969" max="9969" width="2.7109375" customWidth="1"/>
    <col min="9970" max="9970" width="4.5703125" customWidth="1"/>
    <col min="9971" max="9971" width="5.42578125" customWidth="1"/>
    <col min="9972" max="9972" width="4.7109375" customWidth="1"/>
    <col min="9973" max="9973" width="28.140625" customWidth="1"/>
    <col min="9974" max="9974" width="12.7109375" customWidth="1"/>
    <col min="9975" max="9975" width="11.42578125" customWidth="1"/>
    <col min="9976" max="9976" width="14" customWidth="1"/>
    <col min="9977" max="9977" width="12.5703125" customWidth="1"/>
    <col min="9978" max="9979" width="13.140625" customWidth="1"/>
    <col min="9980" max="9980" width="12.7109375" customWidth="1"/>
    <col min="9981" max="9981" width="14.5703125" customWidth="1"/>
    <col min="9982" max="9982" width="0.85546875" customWidth="1"/>
    <col min="9983" max="9983" width="11.85546875" customWidth="1"/>
    <col min="9984" max="9984" width="11.7109375" customWidth="1"/>
    <col min="9985" max="9985" width="12" customWidth="1"/>
    <col min="9986" max="9986" width="12.5703125" customWidth="1"/>
    <col min="9987" max="9988" width="14.85546875" customWidth="1"/>
    <col min="9989" max="9989" width="14" customWidth="1"/>
    <col min="9990" max="9993" width="16.7109375" customWidth="1"/>
    <col min="9994" max="9994" width="0.42578125" customWidth="1"/>
    <col min="10222" max="10222" width="1" customWidth="1"/>
    <col min="10223" max="10223" width="3.7109375" customWidth="1"/>
    <col min="10224" max="10224" width="3.42578125" customWidth="1"/>
    <col min="10225" max="10225" width="2.7109375" customWidth="1"/>
    <col min="10226" max="10226" width="4.5703125" customWidth="1"/>
    <col min="10227" max="10227" width="5.42578125" customWidth="1"/>
    <col min="10228" max="10228" width="4.7109375" customWidth="1"/>
    <col min="10229" max="10229" width="28.140625" customWidth="1"/>
    <col min="10230" max="10230" width="12.7109375" customWidth="1"/>
    <col min="10231" max="10231" width="11.42578125" customWidth="1"/>
    <col min="10232" max="10232" width="14" customWidth="1"/>
    <col min="10233" max="10233" width="12.5703125" customWidth="1"/>
    <col min="10234" max="10235" width="13.140625" customWidth="1"/>
    <col min="10236" max="10236" width="12.7109375" customWidth="1"/>
    <col min="10237" max="10237" width="14.5703125" customWidth="1"/>
    <col min="10238" max="10238" width="0.85546875" customWidth="1"/>
    <col min="10239" max="10239" width="11.85546875" customWidth="1"/>
    <col min="10240" max="10240" width="11.7109375" customWidth="1"/>
    <col min="10241" max="10241" width="12" customWidth="1"/>
    <col min="10242" max="10242" width="12.5703125" customWidth="1"/>
    <col min="10243" max="10244" width="14.85546875" customWidth="1"/>
    <col min="10245" max="10245" width="14" customWidth="1"/>
    <col min="10246" max="10249" width="16.7109375" customWidth="1"/>
    <col min="10250" max="10250" width="0.42578125" customWidth="1"/>
    <col min="10478" max="10478" width="1" customWidth="1"/>
    <col min="10479" max="10479" width="3.7109375" customWidth="1"/>
    <col min="10480" max="10480" width="3.42578125" customWidth="1"/>
    <col min="10481" max="10481" width="2.7109375" customWidth="1"/>
    <col min="10482" max="10482" width="4.5703125" customWidth="1"/>
    <col min="10483" max="10483" width="5.42578125" customWidth="1"/>
    <col min="10484" max="10484" width="4.7109375" customWidth="1"/>
    <col min="10485" max="10485" width="28.140625" customWidth="1"/>
    <col min="10486" max="10486" width="12.7109375" customWidth="1"/>
    <col min="10487" max="10487" width="11.42578125" customWidth="1"/>
    <col min="10488" max="10488" width="14" customWidth="1"/>
    <col min="10489" max="10489" width="12.5703125" customWidth="1"/>
    <col min="10490" max="10491" width="13.140625" customWidth="1"/>
    <col min="10492" max="10492" width="12.7109375" customWidth="1"/>
    <col min="10493" max="10493" width="14.5703125" customWidth="1"/>
    <col min="10494" max="10494" width="0.85546875" customWidth="1"/>
    <col min="10495" max="10495" width="11.85546875" customWidth="1"/>
    <col min="10496" max="10496" width="11.7109375" customWidth="1"/>
    <col min="10497" max="10497" width="12" customWidth="1"/>
    <col min="10498" max="10498" width="12.5703125" customWidth="1"/>
    <col min="10499" max="10500" width="14.85546875" customWidth="1"/>
    <col min="10501" max="10501" width="14" customWidth="1"/>
    <col min="10502" max="10505" width="16.7109375" customWidth="1"/>
    <col min="10506" max="10506" width="0.42578125" customWidth="1"/>
    <col min="10734" max="10734" width="1" customWidth="1"/>
    <col min="10735" max="10735" width="3.7109375" customWidth="1"/>
    <col min="10736" max="10736" width="3.42578125" customWidth="1"/>
    <col min="10737" max="10737" width="2.7109375" customWidth="1"/>
    <col min="10738" max="10738" width="4.5703125" customWidth="1"/>
    <col min="10739" max="10739" width="5.42578125" customWidth="1"/>
    <col min="10740" max="10740" width="4.7109375" customWidth="1"/>
    <col min="10741" max="10741" width="28.140625" customWidth="1"/>
    <col min="10742" max="10742" width="12.7109375" customWidth="1"/>
    <col min="10743" max="10743" width="11.42578125" customWidth="1"/>
    <col min="10744" max="10744" width="14" customWidth="1"/>
    <col min="10745" max="10745" width="12.5703125" customWidth="1"/>
    <col min="10746" max="10747" width="13.140625" customWidth="1"/>
    <col min="10748" max="10748" width="12.7109375" customWidth="1"/>
    <col min="10749" max="10749" width="14.5703125" customWidth="1"/>
    <col min="10750" max="10750" width="0.85546875" customWidth="1"/>
    <col min="10751" max="10751" width="11.85546875" customWidth="1"/>
    <col min="10752" max="10752" width="11.7109375" customWidth="1"/>
    <col min="10753" max="10753" width="12" customWidth="1"/>
    <col min="10754" max="10754" width="12.5703125" customWidth="1"/>
    <col min="10755" max="10756" width="14.85546875" customWidth="1"/>
    <col min="10757" max="10757" width="14" customWidth="1"/>
    <col min="10758" max="10761" width="16.7109375" customWidth="1"/>
    <col min="10762" max="10762" width="0.42578125" customWidth="1"/>
    <col min="10990" max="10990" width="1" customWidth="1"/>
    <col min="10991" max="10991" width="3.7109375" customWidth="1"/>
    <col min="10992" max="10992" width="3.42578125" customWidth="1"/>
    <col min="10993" max="10993" width="2.7109375" customWidth="1"/>
    <col min="10994" max="10994" width="4.5703125" customWidth="1"/>
    <col min="10995" max="10995" width="5.42578125" customWidth="1"/>
    <col min="10996" max="10996" width="4.7109375" customWidth="1"/>
    <col min="10997" max="10997" width="28.140625" customWidth="1"/>
    <col min="10998" max="10998" width="12.7109375" customWidth="1"/>
    <col min="10999" max="10999" width="11.42578125" customWidth="1"/>
    <col min="11000" max="11000" width="14" customWidth="1"/>
    <col min="11001" max="11001" width="12.5703125" customWidth="1"/>
    <col min="11002" max="11003" width="13.140625" customWidth="1"/>
    <col min="11004" max="11004" width="12.7109375" customWidth="1"/>
    <col min="11005" max="11005" width="14.5703125" customWidth="1"/>
    <col min="11006" max="11006" width="0.85546875" customWidth="1"/>
    <col min="11007" max="11007" width="11.85546875" customWidth="1"/>
    <col min="11008" max="11008" width="11.7109375" customWidth="1"/>
    <col min="11009" max="11009" width="12" customWidth="1"/>
    <col min="11010" max="11010" width="12.5703125" customWidth="1"/>
    <col min="11011" max="11012" width="14.85546875" customWidth="1"/>
    <col min="11013" max="11013" width="14" customWidth="1"/>
    <col min="11014" max="11017" width="16.7109375" customWidth="1"/>
    <col min="11018" max="11018" width="0.42578125" customWidth="1"/>
    <col min="11246" max="11246" width="1" customWidth="1"/>
    <col min="11247" max="11247" width="3.7109375" customWidth="1"/>
    <col min="11248" max="11248" width="3.42578125" customWidth="1"/>
    <col min="11249" max="11249" width="2.7109375" customWidth="1"/>
    <col min="11250" max="11250" width="4.5703125" customWidth="1"/>
    <col min="11251" max="11251" width="5.42578125" customWidth="1"/>
    <col min="11252" max="11252" width="4.7109375" customWidth="1"/>
    <col min="11253" max="11253" width="28.140625" customWidth="1"/>
    <col min="11254" max="11254" width="12.7109375" customWidth="1"/>
    <col min="11255" max="11255" width="11.42578125" customWidth="1"/>
    <col min="11256" max="11256" width="14" customWidth="1"/>
    <col min="11257" max="11257" width="12.5703125" customWidth="1"/>
    <col min="11258" max="11259" width="13.140625" customWidth="1"/>
    <col min="11260" max="11260" width="12.7109375" customWidth="1"/>
    <col min="11261" max="11261" width="14.5703125" customWidth="1"/>
    <col min="11262" max="11262" width="0.85546875" customWidth="1"/>
    <col min="11263" max="11263" width="11.85546875" customWidth="1"/>
    <col min="11264" max="11264" width="11.7109375" customWidth="1"/>
    <col min="11265" max="11265" width="12" customWidth="1"/>
    <col min="11266" max="11266" width="12.5703125" customWidth="1"/>
    <col min="11267" max="11268" width="14.85546875" customWidth="1"/>
    <col min="11269" max="11269" width="14" customWidth="1"/>
    <col min="11270" max="11273" width="16.7109375" customWidth="1"/>
    <col min="11274" max="11274" width="0.42578125" customWidth="1"/>
    <col min="11502" max="11502" width="1" customWidth="1"/>
    <col min="11503" max="11503" width="3.7109375" customWidth="1"/>
    <col min="11504" max="11504" width="3.42578125" customWidth="1"/>
    <col min="11505" max="11505" width="2.7109375" customWidth="1"/>
    <col min="11506" max="11506" width="4.5703125" customWidth="1"/>
    <col min="11507" max="11507" width="5.42578125" customWidth="1"/>
    <col min="11508" max="11508" width="4.7109375" customWidth="1"/>
    <col min="11509" max="11509" width="28.140625" customWidth="1"/>
    <col min="11510" max="11510" width="12.7109375" customWidth="1"/>
    <col min="11511" max="11511" width="11.42578125" customWidth="1"/>
    <col min="11512" max="11512" width="14" customWidth="1"/>
    <col min="11513" max="11513" width="12.5703125" customWidth="1"/>
    <col min="11514" max="11515" width="13.140625" customWidth="1"/>
    <col min="11516" max="11516" width="12.7109375" customWidth="1"/>
    <col min="11517" max="11517" width="14.5703125" customWidth="1"/>
    <col min="11518" max="11518" width="0.85546875" customWidth="1"/>
    <col min="11519" max="11519" width="11.85546875" customWidth="1"/>
    <col min="11520" max="11520" width="11.7109375" customWidth="1"/>
    <col min="11521" max="11521" width="12" customWidth="1"/>
    <col min="11522" max="11522" width="12.5703125" customWidth="1"/>
    <col min="11523" max="11524" width="14.85546875" customWidth="1"/>
    <col min="11525" max="11525" width="14" customWidth="1"/>
    <col min="11526" max="11529" width="16.7109375" customWidth="1"/>
    <col min="11530" max="11530" width="0.42578125" customWidth="1"/>
    <col min="11758" max="11758" width="1" customWidth="1"/>
    <col min="11759" max="11759" width="3.7109375" customWidth="1"/>
    <col min="11760" max="11760" width="3.42578125" customWidth="1"/>
    <col min="11761" max="11761" width="2.7109375" customWidth="1"/>
    <col min="11762" max="11762" width="4.5703125" customWidth="1"/>
    <col min="11763" max="11763" width="5.42578125" customWidth="1"/>
    <col min="11764" max="11764" width="4.7109375" customWidth="1"/>
    <col min="11765" max="11765" width="28.140625" customWidth="1"/>
    <col min="11766" max="11766" width="12.7109375" customWidth="1"/>
    <col min="11767" max="11767" width="11.42578125" customWidth="1"/>
    <col min="11768" max="11768" width="14" customWidth="1"/>
    <col min="11769" max="11769" width="12.5703125" customWidth="1"/>
    <col min="11770" max="11771" width="13.140625" customWidth="1"/>
    <col min="11772" max="11772" width="12.7109375" customWidth="1"/>
    <col min="11773" max="11773" width="14.5703125" customWidth="1"/>
    <col min="11774" max="11774" width="0.85546875" customWidth="1"/>
    <col min="11775" max="11775" width="11.85546875" customWidth="1"/>
    <col min="11776" max="11776" width="11.7109375" customWidth="1"/>
    <col min="11777" max="11777" width="12" customWidth="1"/>
    <col min="11778" max="11778" width="12.5703125" customWidth="1"/>
    <col min="11779" max="11780" width="14.85546875" customWidth="1"/>
    <col min="11781" max="11781" width="14" customWidth="1"/>
    <col min="11782" max="11785" width="16.7109375" customWidth="1"/>
    <col min="11786" max="11786" width="0.42578125" customWidth="1"/>
    <col min="12014" max="12014" width="1" customWidth="1"/>
    <col min="12015" max="12015" width="3.7109375" customWidth="1"/>
    <col min="12016" max="12016" width="3.42578125" customWidth="1"/>
    <col min="12017" max="12017" width="2.7109375" customWidth="1"/>
    <col min="12018" max="12018" width="4.5703125" customWidth="1"/>
    <col min="12019" max="12019" width="5.42578125" customWidth="1"/>
    <col min="12020" max="12020" width="4.7109375" customWidth="1"/>
    <col min="12021" max="12021" width="28.140625" customWidth="1"/>
    <col min="12022" max="12022" width="12.7109375" customWidth="1"/>
    <col min="12023" max="12023" width="11.42578125" customWidth="1"/>
    <col min="12024" max="12024" width="14" customWidth="1"/>
    <col min="12025" max="12025" width="12.5703125" customWidth="1"/>
    <col min="12026" max="12027" width="13.140625" customWidth="1"/>
    <col min="12028" max="12028" width="12.7109375" customWidth="1"/>
    <col min="12029" max="12029" width="14.5703125" customWidth="1"/>
    <col min="12030" max="12030" width="0.85546875" customWidth="1"/>
    <col min="12031" max="12031" width="11.85546875" customWidth="1"/>
    <col min="12032" max="12032" width="11.7109375" customWidth="1"/>
    <col min="12033" max="12033" width="12" customWidth="1"/>
    <col min="12034" max="12034" width="12.5703125" customWidth="1"/>
    <col min="12035" max="12036" width="14.85546875" customWidth="1"/>
    <col min="12037" max="12037" width="14" customWidth="1"/>
    <col min="12038" max="12041" width="16.7109375" customWidth="1"/>
    <col min="12042" max="12042" width="0.42578125" customWidth="1"/>
    <col min="12270" max="12270" width="1" customWidth="1"/>
    <col min="12271" max="12271" width="3.7109375" customWidth="1"/>
    <col min="12272" max="12272" width="3.42578125" customWidth="1"/>
    <col min="12273" max="12273" width="2.7109375" customWidth="1"/>
    <col min="12274" max="12274" width="4.5703125" customWidth="1"/>
    <col min="12275" max="12275" width="5.42578125" customWidth="1"/>
    <col min="12276" max="12276" width="4.7109375" customWidth="1"/>
    <col min="12277" max="12277" width="28.140625" customWidth="1"/>
    <col min="12278" max="12278" width="12.7109375" customWidth="1"/>
    <col min="12279" max="12279" width="11.42578125" customWidth="1"/>
    <col min="12280" max="12280" width="14" customWidth="1"/>
    <col min="12281" max="12281" width="12.5703125" customWidth="1"/>
    <col min="12282" max="12283" width="13.140625" customWidth="1"/>
    <col min="12284" max="12284" width="12.7109375" customWidth="1"/>
    <col min="12285" max="12285" width="14.5703125" customWidth="1"/>
    <col min="12286" max="12286" width="0.85546875" customWidth="1"/>
    <col min="12287" max="12287" width="11.85546875" customWidth="1"/>
    <col min="12288" max="12288" width="11.7109375" customWidth="1"/>
    <col min="12289" max="12289" width="12" customWidth="1"/>
    <col min="12290" max="12290" width="12.5703125" customWidth="1"/>
    <col min="12291" max="12292" width="14.85546875" customWidth="1"/>
    <col min="12293" max="12293" width="14" customWidth="1"/>
    <col min="12294" max="12297" width="16.7109375" customWidth="1"/>
    <col min="12298" max="12298" width="0.42578125" customWidth="1"/>
    <col min="12526" max="12526" width="1" customWidth="1"/>
    <col min="12527" max="12527" width="3.7109375" customWidth="1"/>
    <col min="12528" max="12528" width="3.42578125" customWidth="1"/>
    <col min="12529" max="12529" width="2.7109375" customWidth="1"/>
    <col min="12530" max="12530" width="4.5703125" customWidth="1"/>
    <col min="12531" max="12531" width="5.42578125" customWidth="1"/>
    <col min="12532" max="12532" width="4.7109375" customWidth="1"/>
    <col min="12533" max="12533" width="28.140625" customWidth="1"/>
    <col min="12534" max="12534" width="12.7109375" customWidth="1"/>
    <col min="12535" max="12535" width="11.42578125" customWidth="1"/>
    <col min="12536" max="12536" width="14" customWidth="1"/>
    <col min="12537" max="12537" width="12.5703125" customWidth="1"/>
    <col min="12538" max="12539" width="13.140625" customWidth="1"/>
    <col min="12540" max="12540" width="12.7109375" customWidth="1"/>
    <col min="12541" max="12541" width="14.5703125" customWidth="1"/>
    <col min="12542" max="12542" width="0.85546875" customWidth="1"/>
    <col min="12543" max="12543" width="11.85546875" customWidth="1"/>
    <col min="12544" max="12544" width="11.7109375" customWidth="1"/>
    <col min="12545" max="12545" width="12" customWidth="1"/>
    <col min="12546" max="12546" width="12.5703125" customWidth="1"/>
    <col min="12547" max="12548" width="14.85546875" customWidth="1"/>
    <col min="12549" max="12549" width="14" customWidth="1"/>
    <col min="12550" max="12553" width="16.7109375" customWidth="1"/>
    <col min="12554" max="12554" width="0.42578125" customWidth="1"/>
    <col min="12782" max="12782" width="1" customWidth="1"/>
    <col min="12783" max="12783" width="3.7109375" customWidth="1"/>
    <col min="12784" max="12784" width="3.42578125" customWidth="1"/>
    <col min="12785" max="12785" width="2.7109375" customWidth="1"/>
    <col min="12786" max="12786" width="4.5703125" customWidth="1"/>
    <col min="12787" max="12787" width="5.42578125" customWidth="1"/>
    <col min="12788" max="12788" width="4.7109375" customWidth="1"/>
    <col min="12789" max="12789" width="28.140625" customWidth="1"/>
    <col min="12790" max="12790" width="12.7109375" customWidth="1"/>
    <col min="12791" max="12791" width="11.42578125" customWidth="1"/>
    <col min="12792" max="12792" width="14" customWidth="1"/>
    <col min="12793" max="12793" width="12.5703125" customWidth="1"/>
    <col min="12794" max="12795" width="13.140625" customWidth="1"/>
    <col min="12796" max="12796" width="12.7109375" customWidth="1"/>
    <col min="12797" max="12797" width="14.5703125" customWidth="1"/>
    <col min="12798" max="12798" width="0.85546875" customWidth="1"/>
    <col min="12799" max="12799" width="11.85546875" customWidth="1"/>
    <col min="12800" max="12800" width="11.7109375" customWidth="1"/>
    <col min="12801" max="12801" width="12" customWidth="1"/>
    <col min="12802" max="12802" width="12.5703125" customWidth="1"/>
    <col min="12803" max="12804" width="14.85546875" customWidth="1"/>
    <col min="12805" max="12805" width="14" customWidth="1"/>
    <col min="12806" max="12809" width="16.7109375" customWidth="1"/>
    <col min="12810" max="12810" width="0.42578125" customWidth="1"/>
    <col min="13038" max="13038" width="1" customWidth="1"/>
    <col min="13039" max="13039" width="3.7109375" customWidth="1"/>
    <col min="13040" max="13040" width="3.42578125" customWidth="1"/>
    <col min="13041" max="13041" width="2.7109375" customWidth="1"/>
    <col min="13042" max="13042" width="4.5703125" customWidth="1"/>
    <col min="13043" max="13043" width="5.42578125" customWidth="1"/>
    <col min="13044" max="13044" width="4.7109375" customWidth="1"/>
    <col min="13045" max="13045" width="28.140625" customWidth="1"/>
    <col min="13046" max="13046" width="12.7109375" customWidth="1"/>
    <col min="13047" max="13047" width="11.42578125" customWidth="1"/>
    <col min="13048" max="13048" width="14" customWidth="1"/>
    <col min="13049" max="13049" width="12.5703125" customWidth="1"/>
    <col min="13050" max="13051" width="13.140625" customWidth="1"/>
    <col min="13052" max="13052" width="12.7109375" customWidth="1"/>
    <col min="13053" max="13053" width="14.5703125" customWidth="1"/>
    <col min="13054" max="13054" width="0.85546875" customWidth="1"/>
    <col min="13055" max="13055" width="11.85546875" customWidth="1"/>
    <col min="13056" max="13056" width="11.7109375" customWidth="1"/>
    <col min="13057" max="13057" width="12" customWidth="1"/>
    <col min="13058" max="13058" width="12.5703125" customWidth="1"/>
    <col min="13059" max="13060" width="14.85546875" customWidth="1"/>
    <col min="13061" max="13061" width="14" customWidth="1"/>
    <col min="13062" max="13065" width="16.7109375" customWidth="1"/>
    <col min="13066" max="13066" width="0.42578125" customWidth="1"/>
    <col min="13294" max="13294" width="1" customWidth="1"/>
    <col min="13295" max="13295" width="3.7109375" customWidth="1"/>
    <col min="13296" max="13296" width="3.42578125" customWidth="1"/>
    <col min="13297" max="13297" width="2.7109375" customWidth="1"/>
    <col min="13298" max="13298" width="4.5703125" customWidth="1"/>
    <col min="13299" max="13299" width="5.42578125" customWidth="1"/>
    <col min="13300" max="13300" width="4.7109375" customWidth="1"/>
    <col min="13301" max="13301" width="28.140625" customWidth="1"/>
    <col min="13302" max="13302" width="12.7109375" customWidth="1"/>
    <col min="13303" max="13303" width="11.42578125" customWidth="1"/>
    <col min="13304" max="13304" width="14" customWidth="1"/>
    <col min="13305" max="13305" width="12.5703125" customWidth="1"/>
    <col min="13306" max="13307" width="13.140625" customWidth="1"/>
    <col min="13308" max="13308" width="12.7109375" customWidth="1"/>
    <col min="13309" max="13309" width="14.5703125" customWidth="1"/>
    <col min="13310" max="13310" width="0.85546875" customWidth="1"/>
    <col min="13311" max="13311" width="11.85546875" customWidth="1"/>
    <col min="13312" max="13312" width="11.7109375" customWidth="1"/>
    <col min="13313" max="13313" width="12" customWidth="1"/>
    <col min="13314" max="13314" width="12.5703125" customWidth="1"/>
    <col min="13315" max="13316" width="14.85546875" customWidth="1"/>
    <col min="13317" max="13317" width="14" customWidth="1"/>
    <col min="13318" max="13321" width="16.7109375" customWidth="1"/>
    <col min="13322" max="13322" width="0.42578125" customWidth="1"/>
    <col min="13550" max="13550" width="1" customWidth="1"/>
    <col min="13551" max="13551" width="3.7109375" customWidth="1"/>
    <col min="13552" max="13552" width="3.42578125" customWidth="1"/>
    <col min="13553" max="13553" width="2.7109375" customWidth="1"/>
    <col min="13554" max="13554" width="4.5703125" customWidth="1"/>
    <col min="13555" max="13555" width="5.42578125" customWidth="1"/>
    <col min="13556" max="13556" width="4.7109375" customWidth="1"/>
    <col min="13557" max="13557" width="28.140625" customWidth="1"/>
    <col min="13558" max="13558" width="12.7109375" customWidth="1"/>
    <col min="13559" max="13559" width="11.42578125" customWidth="1"/>
    <col min="13560" max="13560" width="14" customWidth="1"/>
    <col min="13561" max="13561" width="12.5703125" customWidth="1"/>
    <col min="13562" max="13563" width="13.140625" customWidth="1"/>
    <col min="13564" max="13564" width="12.7109375" customWidth="1"/>
    <col min="13565" max="13565" width="14.5703125" customWidth="1"/>
    <col min="13566" max="13566" width="0.85546875" customWidth="1"/>
    <col min="13567" max="13567" width="11.85546875" customWidth="1"/>
    <col min="13568" max="13568" width="11.7109375" customWidth="1"/>
    <col min="13569" max="13569" width="12" customWidth="1"/>
    <col min="13570" max="13570" width="12.5703125" customWidth="1"/>
    <col min="13571" max="13572" width="14.85546875" customWidth="1"/>
    <col min="13573" max="13573" width="14" customWidth="1"/>
    <col min="13574" max="13577" width="16.7109375" customWidth="1"/>
    <col min="13578" max="13578" width="0.42578125" customWidth="1"/>
    <col min="13806" max="13806" width="1" customWidth="1"/>
    <col min="13807" max="13807" width="3.7109375" customWidth="1"/>
    <col min="13808" max="13808" width="3.42578125" customWidth="1"/>
    <col min="13809" max="13809" width="2.7109375" customWidth="1"/>
    <col min="13810" max="13810" width="4.5703125" customWidth="1"/>
    <col min="13811" max="13811" width="5.42578125" customWidth="1"/>
    <col min="13812" max="13812" width="4.7109375" customWidth="1"/>
    <col min="13813" max="13813" width="28.140625" customWidth="1"/>
    <col min="13814" max="13814" width="12.7109375" customWidth="1"/>
    <col min="13815" max="13815" width="11.42578125" customWidth="1"/>
    <col min="13816" max="13816" width="14" customWidth="1"/>
    <col min="13817" max="13817" width="12.5703125" customWidth="1"/>
    <col min="13818" max="13819" width="13.140625" customWidth="1"/>
    <col min="13820" max="13820" width="12.7109375" customWidth="1"/>
    <col min="13821" max="13821" width="14.5703125" customWidth="1"/>
    <col min="13822" max="13822" width="0.85546875" customWidth="1"/>
    <col min="13823" max="13823" width="11.85546875" customWidth="1"/>
    <col min="13824" max="13824" width="11.7109375" customWidth="1"/>
    <col min="13825" max="13825" width="12" customWidth="1"/>
    <col min="13826" max="13826" width="12.5703125" customWidth="1"/>
    <col min="13827" max="13828" width="14.85546875" customWidth="1"/>
    <col min="13829" max="13829" width="14" customWidth="1"/>
    <col min="13830" max="13833" width="16.7109375" customWidth="1"/>
    <col min="13834" max="13834" width="0.42578125" customWidth="1"/>
    <col min="14062" max="14062" width="1" customWidth="1"/>
    <col min="14063" max="14063" width="3.7109375" customWidth="1"/>
    <col min="14064" max="14064" width="3.42578125" customWidth="1"/>
    <col min="14065" max="14065" width="2.7109375" customWidth="1"/>
    <col min="14066" max="14066" width="4.5703125" customWidth="1"/>
    <col min="14067" max="14067" width="5.42578125" customWidth="1"/>
    <col min="14068" max="14068" width="4.7109375" customWidth="1"/>
    <col min="14069" max="14069" width="28.140625" customWidth="1"/>
    <col min="14070" max="14070" width="12.7109375" customWidth="1"/>
    <col min="14071" max="14071" width="11.42578125" customWidth="1"/>
    <col min="14072" max="14072" width="14" customWidth="1"/>
    <col min="14073" max="14073" width="12.5703125" customWidth="1"/>
    <col min="14074" max="14075" width="13.140625" customWidth="1"/>
    <col min="14076" max="14076" width="12.7109375" customWidth="1"/>
    <col min="14077" max="14077" width="14.5703125" customWidth="1"/>
    <col min="14078" max="14078" width="0.85546875" customWidth="1"/>
    <col min="14079" max="14079" width="11.85546875" customWidth="1"/>
    <col min="14080" max="14080" width="11.7109375" customWidth="1"/>
    <col min="14081" max="14081" width="12" customWidth="1"/>
    <col min="14082" max="14082" width="12.5703125" customWidth="1"/>
    <col min="14083" max="14084" width="14.85546875" customWidth="1"/>
    <col min="14085" max="14085" width="14" customWidth="1"/>
    <col min="14086" max="14089" width="16.7109375" customWidth="1"/>
    <col min="14090" max="14090" width="0.42578125" customWidth="1"/>
    <col min="14318" max="14318" width="1" customWidth="1"/>
    <col min="14319" max="14319" width="3.7109375" customWidth="1"/>
    <col min="14320" max="14320" width="3.42578125" customWidth="1"/>
    <col min="14321" max="14321" width="2.7109375" customWidth="1"/>
    <col min="14322" max="14322" width="4.5703125" customWidth="1"/>
    <col min="14323" max="14323" width="5.42578125" customWidth="1"/>
    <col min="14324" max="14324" width="4.7109375" customWidth="1"/>
    <col min="14325" max="14325" width="28.140625" customWidth="1"/>
    <col min="14326" max="14326" width="12.7109375" customWidth="1"/>
    <col min="14327" max="14327" width="11.42578125" customWidth="1"/>
    <col min="14328" max="14328" width="14" customWidth="1"/>
    <col min="14329" max="14329" width="12.5703125" customWidth="1"/>
    <col min="14330" max="14331" width="13.140625" customWidth="1"/>
    <col min="14332" max="14332" width="12.7109375" customWidth="1"/>
    <col min="14333" max="14333" width="14.5703125" customWidth="1"/>
    <col min="14334" max="14334" width="0.85546875" customWidth="1"/>
    <col min="14335" max="14335" width="11.85546875" customWidth="1"/>
    <col min="14336" max="14336" width="11.7109375" customWidth="1"/>
    <col min="14337" max="14337" width="12" customWidth="1"/>
    <col min="14338" max="14338" width="12.5703125" customWidth="1"/>
    <col min="14339" max="14340" width="14.85546875" customWidth="1"/>
    <col min="14341" max="14341" width="14" customWidth="1"/>
    <col min="14342" max="14345" width="16.7109375" customWidth="1"/>
    <col min="14346" max="14346" width="0.42578125" customWidth="1"/>
    <col min="14574" max="14574" width="1" customWidth="1"/>
    <col min="14575" max="14575" width="3.7109375" customWidth="1"/>
    <col min="14576" max="14576" width="3.42578125" customWidth="1"/>
    <col min="14577" max="14577" width="2.7109375" customWidth="1"/>
    <col min="14578" max="14578" width="4.5703125" customWidth="1"/>
    <col min="14579" max="14579" width="5.42578125" customWidth="1"/>
    <col min="14580" max="14580" width="4.7109375" customWidth="1"/>
    <col min="14581" max="14581" width="28.140625" customWidth="1"/>
    <col min="14582" max="14582" width="12.7109375" customWidth="1"/>
    <col min="14583" max="14583" width="11.42578125" customWidth="1"/>
    <col min="14584" max="14584" width="14" customWidth="1"/>
    <col min="14585" max="14585" width="12.5703125" customWidth="1"/>
    <col min="14586" max="14587" width="13.140625" customWidth="1"/>
    <col min="14588" max="14588" width="12.7109375" customWidth="1"/>
    <col min="14589" max="14589" width="14.5703125" customWidth="1"/>
    <col min="14590" max="14590" width="0.85546875" customWidth="1"/>
    <col min="14591" max="14591" width="11.85546875" customWidth="1"/>
    <col min="14592" max="14592" width="11.7109375" customWidth="1"/>
    <col min="14593" max="14593" width="12" customWidth="1"/>
    <col min="14594" max="14594" width="12.5703125" customWidth="1"/>
    <col min="14595" max="14596" width="14.85546875" customWidth="1"/>
    <col min="14597" max="14597" width="14" customWidth="1"/>
    <col min="14598" max="14601" width="16.7109375" customWidth="1"/>
    <col min="14602" max="14602" width="0.42578125" customWidth="1"/>
    <col min="14830" max="14830" width="1" customWidth="1"/>
    <col min="14831" max="14831" width="3.7109375" customWidth="1"/>
    <col min="14832" max="14832" width="3.42578125" customWidth="1"/>
    <col min="14833" max="14833" width="2.7109375" customWidth="1"/>
    <col min="14834" max="14834" width="4.5703125" customWidth="1"/>
    <col min="14835" max="14835" width="5.42578125" customWidth="1"/>
    <col min="14836" max="14836" width="4.7109375" customWidth="1"/>
    <col min="14837" max="14837" width="28.140625" customWidth="1"/>
    <col min="14838" max="14838" width="12.7109375" customWidth="1"/>
    <col min="14839" max="14839" width="11.42578125" customWidth="1"/>
    <col min="14840" max="14840" width="14" customWidth="1"/>
    <col min="14841" max="14841" width="12.5703125" customWidth="1"/>
    <col min="14842" max="14843" width="13.140625" customWidth="1"/>
    <col min="14844" max="14844" width="12.7109375" customWidth="1"/>
    <col min="14845" max="14845" width="14.5703125" customWidth="1"/>
    <col min="14846" max="14846" width="0.85546875" customWidth="1"/>
    <col min="14847" max="14847" width="11.85546875" customWidth="1"/>
    <col min="14848" max="14848" width="11.7109375" customWidth="1"/>
    <col min="14849" max="14849" width="12" customWidth="1"/>
    <col min="14850" max="14850" width="12.5703125" customWidth="1"/>
    <col min="14851" max="14852" width="14.85546875" customWidth="1"/>
    <col min="14853" max="14853" width="14" customWidth="1"/>
    <col min="14854" max="14857" width="16.7109375" customWidth="1"/>
    <col min="14858" max="14858" width="0.42578125" customWidth="1"/>
    <col min="15086" max="15086" width="1" customWidth="1"/>
    <col min="15087" max="15087" width="3.7109375" customWidth="1"/>
    <col min="15088" max="15088" width="3.42578125" customWidth="1"/>
    <col min="15089" max="15089" width="2.7109375" customWidth="1"/>
    <col min="15090" max="15090" width="4.5703125" customWidth="1"/>
    <col min="15091" max="15091" width="5.42578125" customWidth="1"/>
    <col min="15092" max="15092" width="4.7109375" customWidth="1"/>
    <col min="15093" max="15093" width="28.140625" customWidth="1"/>
    <col min="15094" max="15094" width="12.7109375" customWidth="1"/>
    <col min="15095" max="15095" width="11.42578125" customWidth="1"/>
    <col min="15096" max="15096" width="14" customWidth="1"/>
    <col min="15097" max="15097" width="12.5703125" customWidth="1"/>
    <col min="15098" max="15099" width="13.140625" customWidth="1"/>
    <col min="15100" max="15100" width="12.7109375" customWidth="1"/>
    <col min="15101" max="15101" width="14.5703125" customWidth="1"/>
    <col min="15102" max="15102" width="0.85546875" customWidth="1"/>
    <col min="15103" max="15103" width="11.85546875" customWidth="1"/>
    <col min="15104" max="15104" width="11.7109375" customWidth="1"/>
    <col min="15105" max="15105" width="12" customWidth="1"/>
    <col min="15106" max="15106" width="12.5703125" customWidth="1"/>
    <col min="15107" max="15108" width="14.85546875" customWidth="1"/>
    <col min="15109" max="15109" width="14" customWidth="1"/>
    <col min="15110" max="15113" width="16.7109375" customWidth="1"/>
    <col min="15114" max="15114" width="0.42578125" customWidth="1"/>
    <col min="15342" max="15342" width="1" customWidth="1"/>
    <col min="15343" max="15343" width="3.7109375" customWidth="1"/>
    <col min="15344" max="15344" width="3.42578125" customWidth="1"/>
    <col min="15345" max="15345" width="2.7109375" customWidth="1"/>
    <col min="15346" max="15346" width="4.5703125" customWidth="1"/>
    <col min="15347" max="15347" width="5.42578125" customWidth="1"/>
    <col min="15348" max="15348" width="4.7109375" customWidth="1"/>
    <col min="15349" max="15349" width="28.140625" customWidth="1"/>
    <col min="15350" max="15350" width="12.7109375" customWidth="1"/>
    <col min="15351" max="15351" width="11.42578125" customWidth="1"/>
    <col min="15352" max="15352" width="14" customWidth="1"/>
    <col min="15353" max="15353" width="12.5703125" customWidth="1"/>
    <col min="15354" max="15355" width="13.140625" customWidth="1"/>
    <col min="15356" max="15356" width="12.7109375" customWidth="1"/>
    <col min="15357" max="15357" width="14.5703125" customWidth="1"/>
    <col min="15358" max="15358" width="0.85546875" customWidth="1"/>
    <col min="15359" max="15359" width="11.85546875" customWidth="1"/>
    <col min="15360" max="15360" width="11.7109375" customWidth="1"/>
    <col min="15361" max="15361" width="12" customWidth="1"/>
    <col min="15362" max="15362" width="12.5703125" customWidth="1"/>
    <col min="15363" max="15364" width="14.85546875" customWidth="1"/>
    <col min="15365" max="15365" width="14" customWidth="1"/>
    <col min="15366" max="15369" width="16.7109375" customWidth="1"/>
    <col min="15370" max="15370" width="0.42578125" customWidth="1"/>
    <col min="15598" max="15598" width="1" customWidth="1"/>
    <col min="15599" max="15599" width="3.7109375" customWidth="1"/>
    <col min="15600" max="15600" width="3.42578125" customWidth="1"/>
    <col min="15601" max="15601" width="2.7109375" customWidth="1"/>
    <col min="15602" max="15602" width="4.5703125" customWidth="1"/>
    <col min="15603" max="15603" width="5.42578125" customWidth="1"/>
    <col min="15604" max="15604" width="4.7109375" customWidth="1"/>
    <col min="15605" max="15605" width="28.140625" customWidth="1"/>
    <col min="15606" max="15606" width="12.7109375" customWidth="1"/>
    <col min="15607" max="15607" width="11.42578125" customWidth="1"/>
    <col min="15608" max="15608" width="14" customWidth="1"/>
    <col min="15609" max="15609" width="12.5703125" customWidth="1"/>
    <col min="15610" max="15611" width="13.140625" customWidth="1"/>
    <col min="15612" max="15612" width="12.7109375" customWidth="1"/>
    <col min="15613" max="15613" width="14.5703125" customWidth="1"/>
    <col min="15614" max="15614" width="0.85546875" customWidth="1"/>
    <col min="15615" max="15615" width="11.85546875" customWidth="1"/>
    <col min="15616" max="15616" width="11.7109375" customWidth="1"/>
    <col min="15617" max="15617" width="12" customWidth="1"/>
    <col min="15618" max="15618" width="12.5703125" customWidth="1"/>
    <col min="15619" max="15620" width="14.85546875" customWidth="1"/>
    <col min="15621" max="15621" width="14" customWidth="1"/>
    <col min="15622" max="15625" width="16.7109375" customWidth="1"/>
    <col min="15626" max="15626" width="0.42578125" customWidth="1"/>
    <col min="15854" max="15854" width="1" customWidth="1"/>
    <col min="15855" max="15855" width="3.7109375" customWidth="1"/>
    <col min="15856" max="15856" width="3.42578125" customWidth="1"/>
    <col min="15857" max="15857" width="2.7109375" customWidth="1"/>
    <col min="15858" max="15858" width="4.5703125" customWidth="1"/>
    <col min="15859" max="15859" width="5.42578125" customWidth="1"/>
    <col min="15860" max="15860" width="4.7109375" customWidth="1"/>
    <col min="15861" max="15861" width="28.140625" customWidth="1"/>
    <col min="15862" max="15862" width="12.7109375" customWidth="1"/>
    <col min="15863" max="15863" width="11.42578125" customWidth="1"/>
    <col min="15864" max="15864" width="14" customWidth="1"/>
    <col min="15865" max="15865" width="12.5703125" customWidth="1"/>
    <col min="15866" max="15867" width="13.140625" customWidth="1"/>
    <col min="15868" max="15868" width="12.7109375" customWidth="1"/>
    <col min="15869" max="15869" width="14.5703125" customWidth="1"/>
    <col min="15870" max="15870" width="0.85546875" customWidth="1"/>
    <col min="15871" max="15871" width="11.85546875" customWidth="1"/>
    <col min="15872" max="15872" width="11.7109375" customWidth="1"/>
    <col min="15873" max="15873" width="12" customWidth="1"/>
    <col min="15874" max="15874" width="12.5703125" customWidth="1"/>
    <col min="15875" max="15876" width="14.85546875" customWidth="1"/>
    <col min="15877" max="15877" width="14" customWidth="1"/>
    <col min="15878" max="15881" width="16.7109375" customWidth="1"/>
    <col min="15882" max="15882" width="0.42578125" customWidth="1"/>
    <col min="16110" max="16110" width="1" customWidth="1"/>
    <col min="16111" max="16111" width="3.7109375" customWidth="1"/>
    <col min="16112" max="16112" width="3.42578125" customWidth="1"/>
    <col min="16113" max="16113" width="2.7109375" customWidth="1"/>
    <col min="16114" max="16114" width="4.5703125" customWidth="1"/>
    <col min="16115" max="16115" width="5.42578125" customWidth="1"/>
    <col min="16116" max="16116" width="4.7109375" customWidth="1"/>
    <col min="16117" max="16117" width="28.140625" customWidth="1"/>
    <col min="16118" max="16118" width="12.7109375" customWidth="1"/>
    <col min="16119" max="16119" width="11.42578125" customWidth="1"/>
    <col min="16120" max="16120" width="14" customWidth="1"/>
    <col min="16121" max="16121" width="12.5703125" customWidth="1"/>
    <col min="16122" max="16123" width="13.140625" customWidth="1"/>
    <col min="16124" max="16124" width="12.7109375" customWidth="1"/>
    <col min="16125" max="16125" width="14.5703125" customWidth="1"/>
    <col min="16126" max="16126" width="0.85546875" customWidth="1"/>
    <col min="16127" max="16127" width="11.85546875" customWidth="1"/>
    <col min="16128" max="16128" width="11.7109375" customWidth="1"/>
    <col min="16129" max="16129" width="12" customWidth="1"/>
    <col min="16130" max="16130" width="12.5703125" customWidth="1"/>
    <col min="16131" max="16132" width="14.85546875" customWidth="1"/>
    <col min="16133" max="16133" width="14" customWidth="1"/>
    <col min="16134" max="16137" width="16.7109375" customWidth="1"/>
    <col min="16138" max="16138" width="0.42578125" customWidth="1"/>
  </cols>
  <sheetData>
    <row r="1" spans="1:20" x14ac:dyDescent="0.25">
      <c r="A1" t="s">
        <v>5</v>
      </c>
    </row>
    <row r="2" spans="1:20" ht="27" x14ac:dyDescent="0.35">
      <c r="B2" s="310" t="s">
        <v>932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20" ht="19.5" customHeight="1" x14ac:dyDescent="0.25">
      <c r="B3" s="279" t="s">
        <v>286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1"/>
      <c r="T3" s="314" t="s">
        <v>937</v>
      </c>
    </row>
    <row r="4" spans="1:20" ht="12.75" customHeight="1" x14ac:dyDescent="0.25">
      <c r="B4" s="282"/>
      <c r="C4" s="285" t="s">
        <v>287</v>
      </c>
      <c r="D4" s="285" t="s">
        <v>288</v>
      </c>
      <c r="E4" s="285" t="s">
        <v>289</v>
      </c>
      <c r="F4" s="285" t="s">
        <v>290</v>
      </c>
      <c r="G4" s="303" t="s">
        <v>291</v>
      </c>
      <c r="H4" s="305" t="s">
        <v>292</v>
      </c>
      <c r="I4" s="308" t="s">
        <v>935</v>
      </c>
      <c r="J4" s="299" t="s">
        <v>293</v>
      </c>
      <c r="K4" s="299" t="s">
        <v>294</v>
      </c>
      <c r="L4" s="288" t="s">
        <v>295</v>
      </c>
      <c r="M4" s="288" t="s">
        <v>296</v>
      </c>
      <c r="N4" s="301" t="s">
        <v>936</v>
      </c>
      <c r="O4" s="297" t="s">
        <v>297</v>
      </c>
      <c r="P4" s="299" t="s">
        <v>772</v>
      </c>
      <c r="Q4" s="288" t="s">
        <v>298</v>
      </c>
      <c r="R4" s="288" t="s">
        <v>299</v>
      </c>
      <c r="T4" s="314"/>
    </row>
    <row r="5" spans="1:20" ht="10.5" customHeight="1" x14ac:dyDescent="0.25">
      <c r="B5" s="283"/>
      <c r="C5" s="286"/>
      <c r="D5" s="286"/>
      <c r="E5" s="286"/>
      <c r="F5" s="286"/>
      <c r="G5" s="303"/>
      <c r="H5" s="306"/>
      <c r="I5" s="308"/>
      <c r="J5" s="299"/>
      <c r="K5" s="299"/>
      <c r="L5" s="288"/>
      <c r="M5" s="288"/>
      <c r="N5" s="301"/>
      <c r="O5" s="297"/>
      <c r="P5" s="299"/>
      <c r="Q5" s="288"/>
      <c r="R5" s="288"/>
      <c r="T5" s="314"/>
    </row>
    <row r="6" spans="1:20" ht="9" customHeight="1" x14ac:dyDescent="0.25">
      <c r="B6" s="283"/>
      <c r="C6" s="286"/>
      <c r="D6" s="286"/>
      <c r="E6" s="286"/>
      <c r="F6" s="286"/>
      <c r="G6" s="303"/>
      <c r="H6" s="306"/>
      <c r="I6" s="308"/>
      <c r="J6" s="299"/>
      <c r="K6" s="299"/>
      <c r="L6" s="288"/>
      <c r="M6" s="288"/>
      <c r="N6" s="301"/>
      <c r="O6" s="297"/>
      <c r="P6" s="299"/>
      <c r="Q6" s="288"/>
      <c r="R6" s="288"/>
      <c r="T6" s="314"/>
    </row>
    <row r="7" spans="1:20" ht="15.75" customHeight="1" thickBot="1" x14ac:dyDescent="0.3">
      <c r="B7" s="284"/>
      <c r="C7" s="287"/>
      <c r="D7" s="287"/>
      <c r="E7" s="287"/>
      <c r="F7" s="287"/>
      <c r="G7" s="304"/>
      <c r="H7" s="307"/>
      <c r="I7" s="309"/>
      <c r="J7" s="300"/>
      <c r="K7" s="300"/>
      <c r="L7" s="289"/>
      <c r="M7" s="289"/>
      <c r="N7" s="302"/>
      <c r="O7" s="298"/>
      <c r="P7" s="300"/>
      <c r="Q7" s="289"/>
      <c r="R7" s="289"/>
      <c r="T7" s="314"/>
    </row>
    <row r="8" spans="1:20" ht="16.5" thickTop="1" x14ac:dyDescent="0.25">
      <c r="B8" s="96">
        <v>1</v>
      </c>
      <c r="C8" s="290" t="s">
        <v>285</v>
      </c>
      <c r="D8" s="291"/>
      <c r="E8" s="291"/>
      <c r="F8" s="291"/>
      <c r="G8" s="291"/>
      <c r="H8" s="292"/>
      <c r="I8" s="44">
        <f>I9+I42+I60+I84+I95+I102</f>
        <v>478100</v>
      </c>
      <c r="J8" s="44">
        <f>J102+J95+J84+J60+J42+J9</f>
        <v>469600</v>
      </c>
      <c r="K8" s="44">
        <f>K102+K95+K84+K60+K42+K9</f>
        <v>499833</v>
      </c>
      <c r="L8" s="44">
        <f>L102+L95+L84+L60+L42+L9</f>
        <v>318115.49</v>
      </c>
      <c r="M8" s="44">
        <f>M102+M95+M84+M60+M42+M9</f>
        <v>469414.8</v>
      </c>
      <c r="N8" s="44">
        <f>N9+N42+N60+N84+N95+N102</f>
        <v>425000</v>
      </c>
      <c r="O8" s="44">
        <f>O102+O95+O84+O60+O42+O9</f>
        <v>698000</v>
      </c>
      <c r="P8" s="44">
        <f>P102+P95+P84+P60+P42+P9</f>
        <v>92470</v>
      </c>
      <c r="Q8" s="44">
        <f>Q102+Q95+Q84+Q60+Q42+Q9</f>
        <v>16452</v>
      </c>
      <c r="R8" s="44">
        <f>R102+R95+R84+R60+R42+R9</f>
        <v>101712.5</v>
      </c>
      <c r="T8" s="193">
        <f>I8+N8</f>
        <v>903100</v>
      </c>
    </row>
    <row r="9" spans="1:20" ht="15.75" x14ac:dyDescent="0.25">
      <c r="B9" s="97">
        <f>B8+1</f>
        <v>2</v>
      </c>
      <c r="C9" s="45">
        <v>1</v>
      </c>
      <c r="D9" s="293" t="s">
        <v>300</v>
      </c>
      <c r="E9" s="294"/>
      <c r="F9" s="294"/>
      <c r="G9" s="294"/>
      <c r="H9" s="295"/>
      <c r="I9" s="46">
        <f>I10+I19+I24+I29+I34</f>
        <v>184700</v>
      </c>
      <c r="J9" s="46">
        <f t="shared" ref="J9:R9" si="0">J34+J29+J24+J19+J10</f>
        <v>177300</v>
      </c>
      <c r="K9" s="46">
        <f t="shared" si="0"/>
        <v>177300</v>
      </c>
      <c r="L9" s="46">
        <f t="shared" si="0"/>
        <v>158042</v>
      </c>
      <c r="M9" s="46">
        <f t="shared" si="0"/>
        <v>138376</v>
      </c>
      <c r="N9" s="46">
        <f>N10+N19+N24+N29+N34</f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  <c r="T9" s="46">
        <f t="shared" ref="T9:T72" si="1">I9+N9</f>
        <v>184700</v>
      </c>
    </row>
    <row r="10" spans="1:20" x14ac:dyDescent="0.25">
      <c r="B10" s="97">
        <f t="shared" ref="B10:B74" si="2">B9+1</f>
        <v>3</v>
      </c>
      <c r="C10" s="47"/>
      <c r="D10" s="47">
        <v>1</v>
      </c>
      <c r="E10" s="296" t="s">
        <v>301</v>
      </c>
      <c r="F10" s="294"/>
      <c r="G10" s="294"/>
      <c r="H10" s="295"/>
      <c r="I10" s="48">
        <f>I13</f>
        <v>17000</v>
      </c>
      <c r="J10" s="48">
        <f t="shared" ref="J10:M12" si="3">J11</f>
        <v>15500</v>
      </c>
      <c r="K10" s="48">
        <f t="shared" si="3"/>
        <v>15500</v>
      </c>
      <c r="L10" s="48">
        <f t="shared" si="3"/>
        <v>10781.66</v>
      </c>
      <c r="M10" s="48">
        <f t="shared" si="3"/>
        <v>9866</v>
      </c>
      <c r="N10" s="48">
        <f>N13</f>
        <v>0</v>
      </c>
      <c r="O10" s="48">
        <f t="shared" ref="O10:R12" si="4">O11</f>
        <v>0</v>
      </c>
      <c r="P10" s="48">
        <f t="shared" si="4"/>
        <v>0</v>
      </c>
      <c r="Q10" s="48">
        <f t="shared" si="4"/>
        <v>0</v>
      </c>
      <c r="R10" s="48">
        <f t="shared" si="4"/>
        <v>0</v>
      </c>
      <c r="T10" s="48">
        <f t="shared" si="1"/>
        <v>17000</v>
      </c>
    </row>
    <row r="11" spans="1:20" hidden="1" x14ac:dyDescent="0.25">
      <c r="B11" s="97">
        <f t="shared" si="2"/>
        <v>4</v>
      </c>
      <c r="C11" s="49"/>
      <c r="D11" s="49"/>
      <c r="E11" s="49"/>
      <c r="F11" s="49"/>
      <c r="G11" s="123"/>
      <c r="H11" s="49" t="s">
        <v>12</v>
      </c>
      <c r="I11" s="50" t="e">
        <f>#REF!+#REF!</f>
        <v>#REF!</v>
      </c>
      <c r="J11" s="50">
        <f t="shared" si="3"/>
        <v>15500</v>
      </c>
      <c r="K11" s="50">
        <f t="shared" si="3"/>
        <v>15500</v>
      </c>
      <c r="L11" s="50">
        <f t="shared" si="3"/>
        <v>10781.66</v>
      </c>
      <c r="M11" s="50">
        <f t="shared" si="3"/>
        <v>9866</v>
      </c>
      <c r="N11" s="50" t="e">
        <f>#REF!+#REF!</f>
        <v>#REF!</v>
      </c>
      <c r="O11" s="50">
        <f t="shared" si="4"/>
        <v>0</v>
      </c>
      <c r="P11" s="50">
        <f t="shared" si="4"/>
        <v>0</v>
      </c>
      <c r="Q11" s="50">
        <f t="shared" si="4"/>
        <v>0</v>
      </c>
      <c r="R11" s="50">
        <f t="shared" si="4"/>
        <v>0</v>
      </c>
      <c r="T11" s="50" t="e">
        <f t="shared" si="1"/>
        <v>#REF!</v>
      </c>
    </row>
    <row r="12" spans="1:20" hidden="1" x14ac:dyDescent="0.25">
      <c r="B12" s="97">
        <f t="shared" si="2"/>
        <v>5</v>
      </c>
      <c r="C12" s="51"/>
      <c r="D12" s="51"/>
      <c r="E12" s="51" t="s">
        <v>60</v>
      </c>
      <c r="F12" s="51"/>
      <c r="G12" s="124"/>
      <c r="H12" s="51"/>
      <c r="I12" s="52" t="e">
        <f>#REF!+#REF!</f>
        <v>#REF!</v>
      </c>
      <c r="J12" s="52">
        <f t="shared" si="3"/>
        <v>15500</v>
      </c>
      <c r="K12" s="52">
        <f t="shared" si="3"/>
        <v>15500</v>
      </c>
      <c r="L12" s="52">
        <f t="shared" si="3"/>
        <v>10781.66</v>
      </c>
      <c r="M12" s="52">
        <f t="shared" si="3"/>
        <v>9866</v>
      </c>
      <c r="N12" s="52" t="e">
        <f>#REF!+#REF!</f>
        <v>#REF!</v>
      </c>
      <c r="O12" s="52">
        <f t="shared" si="4"/>
        <v>0</v>
      </c>
      <c r="P12" s="52">
        <f t="shared" si="4"/>
        <v>0</v>
      </c>
      <c r="Q12" s="52">
        <f t="shared" si="4"/>
        <v>0</v>
      </c>
      <c r="R12" s="52">
        <f t="shared" si="4"/>
        <v>0</v>
      </c>
      <c r="T12" s="52" t="e">
        <f t="shared" si="1"/>
        <v>#REF!</v>
      </c>
    </row>
    <row r="13" spans="1:20" x14ac:dyDescent="0.25">
      <c r="B13" s="97">
        <f t="shared" si="2"/>
        <v>6</v>
      </c>
      <c r="C13" s="29"/>
      <c r="D13" s="29"/>
      <c r="E13" s="29"/>
      <c r="F13" s="53" t="s">
        <v>302</v>
      </c>
      <c r="G13" s="125">
        <v>630</v>
      </c>
      <c r="H13" s="29" t="s">
        <v>303</v>
      </c>
      <c r="I13" s="15">
        <f>SUM(I14:I18)</f>
        <v>17000</v>
      </c>
      <c r="J13" s="15">
        <f t="shared" ref="J13:M13" si="5">J18+J17+J16+J15+J14</f>
        <v>15500</v>
      </c>
      <c r="K13" s="15">
        <f t="shared" si="5"/>
        <v>15500</v>
      </c>
      <c r="L13" s="15">
        <f t="shared" si="5"/>
        <v>10781.66</v>
      </c>
      <c r="M13" s="15">
        <f t="shared" si="5"/>
        <v>9866</v>
      </c>
      <c r="N13" s="15"/>
      <c r="O13" s="15"/>
      <c r="P13" s="15"/>
      <c r="Q13" s="15"/>
      <c r="R13" s="15"/>
      <c r="T13" s="15">
        <f t="shared" si="1"/>
        <v>17000</v>
      </c>
    </row>
    <row r="14" spans="1:20" x14ac:dyDescent="0.25">
      <c r="B14" s="97">
        <f t="shared" si="2"/>
        <v>7</v>
      </c>
      <c r="C14" s="9"/>
      <c r="D14" s="9"/>
      <c r="E14" s="9"/>
      <c r="F14" s="54" t="s">
        <v>302</v>
      </c>
      <c r="G14" s="126">
        <v>631</v>
      </c>
      <c r="H14" s="9" t="s">
        <v>304</v>
      </c>
      <c r="I14" s="10">
        <v>2000</v>
      </c>
      <c r="J14" s="10">
        <v>2000</v>
      </c>
      <c r="K14" s="10">
        <v>2000</v>
      </c>
      <c r="L14" s="10">
        <v>1900.54</v>
      </c>
      <c r="M14" s="10">
        <v>613</v>
      </c>
      <c r="N14" s="10"/>
      <c r="O14" s="10"/>
      <c r="P14" s="10"/>
      <c r="Q14" s="10"/>
      <c r="R14" s="10"/>
      <c r="T14" s="10">
        <f t="shared" si="1"/>
        <v>2000</v>
      </c>
    </row>
    <row r="15" spans="1:20" x14ac:dyDescent="0.25">
      <c r="B15" s="97">
        <f t="shared" si="2"/>
        <v>8</v>
      </c>
      <c r="C15" s="9"/>
      <c r="D15" s="9"/>
      <c r="E15" s="9"/>
      <c r="F15" s="54" t="s">
        <v>302</v>
      </c>
      <c r="G15" s="126">
        <v>633</v>
      </c>
      <c r="H15" s="9" t="s">
        <v>305</v>
      </c>
      <c r="I15" s="10">
        <v>8000</v>
      </c>
      <c r="J15" s="10">
        <v>8000</v>
      </c>
      <c r="K15" s="10">
        <v>8000</v>
      </c>
      <c r="L15" s="10">
        <v>6564.16</v>
      </c>
      <c r="M15" s="10">
        <f>2487+210</f>
        <v>2697</v>
      </c>
      <c r="N15" s="10"/>
      <c r="O15" s="10"/>
      <c r="P15" s="10"/>
      <c r="Q15" s="10"/>
      <c r="R15" s="10"/>
      <c r="T15" s="10">
        <f t="shared" si="1"/>
        <v>8000</v>
      </c>
    </row>
    <row r="16" spans="1:20" x14ac:dyDescent="0.25">
      <c r="B16" s="97">
        <f t="shared" si="2"/>
        <v>9</v>
      </c>
      <c r="C16" s="9"/>
      <c r="D16" s="9"/>
      <c r="E16" s="9"/>
      <c r="F16" s="54" t="s">
        <v>302</v>
      </c>
      <c r="G16" s="126">
        <v>634</v>
      </c>
      <c r="H16" s="9" t="s">
        <v>306</v>
      </c>
      <c r="I16" s="10">
        <v>500</v>
      </c>
      <c r="J16" s="10">
        <v>500</v>
      </c>
      <c r="K16" s="10">
        <v>500</v>
      </c>
      <c r="L16" s="10">
        <v>468</v>
      </c>
      <c r="M16" s="10">
        <v>300</v>
      </c>
      <c r="N16" s="10"/>
      <c r="O16" s="10"/>
      <c r="P16" s="10"/>
      <c r="Q16" s="10"/>
      <c r="R16" s="10"/>
      <c r="T16" s="10">
        <f t="shared" si="1"/>
        <v>500</v>
      </c>
    </row>
    <row r="17" spans="2:20" x14ac:dyDescent="0.25">
      <c r="B17" s="97">
        <f t="shared" si="2"/>
        <v>10</v>
      </c>
      <c r="C17" s="9"/>
      <c r="D17" s="9"/>
      <c r="E17" s="9"/>
      <c r="F17" s="54" t="s">
        <v>302</v>
      </c>
      <c r="G17" s="126">
        <v>636</v>
      </c>
      <c r="H17" s="9" t="s">
        <v>307</v>
      </c>
      <c r="I17" s="10">
        <v>500</v>
      </c>
      <c r="J17" s="10">
        <v>500</v>
      </c>
      <c r="K17" s="10">
        <v>500</v>
      </c>
      <c r="L17" s="10">
        <v>180</v>
      </c>
      <c r="M17" s="10">
        <v>0</v>
      </c>
      <c r="N17" s="10"/>
      <c r="O17" s="10"/>
      <c r="P17" s="10"/>
      <c r="Q17" s="10"/>
      <c r="R17" s="10"/>
      <c r="T17" s="10">
        <f t="shared" si="1"/>
        <v>500</v>
      </c>
    </row>
    <row r="18" spans="2:20" x14ac:dyDescent="0.25">
      <c r="B18" s="97">
        <f t="shared" si="2"/>
        <v>11</v>
      </c>
      <c r="C18" s="9"/>
      <c r="D18" s="9"/>
      <c r="E18" s="9"/>
      <c r="F18" s="54" t="s">
        <v>302</v>
      </c>
      <c r="G18" s="126">
        <v>637</v>
      </c>
      <c r="H18" s="9" t="s">
        <v>308</v>
      </c>
      <c r="I18" s="10">
        <v>6000</v>
      </c>
      <c r="J18" s="10">
        <v>4500</v>
      </c>
      <c r="K18" s="10">
        <v>4500</v>
      </c>
      <c r="L18" s="10">
        <v>1668.96</v>
      </c>
      <c r="M18" s="10">
        <f>4466+1790</f>
        <v>6256</v>
      </c>
      <c r="N18" s="10"/>
      <c r="O18" s="10"/>
      <c r="P18" s="10"/>
      <c r="Q18" s="10"/>
      <c r="R18" s="10"/>
      <c r="T18" s="10">
        <f t="shared" si="1"/>
        <v>6000</v>
      </c>
    </row>
    <row r="19" spans="2:20" x14ac:dyDescent="0.25">
      <c r="B19" s="97">
        <f t="shared" si="2"/>
        <v>12</v>
      </c>
      <c r="C19" s="47"/>
      <c r="D19" s="47">
        <v>2</v>
      </c>
      <c r="E19" s="296" t="s">
        <v>309</v>
      </c>
      <c r="F19" s="294"/>
      <c r="G19" s="294"/>
      <c r="H19" s="295"/>
      <c r="I19" s="48">
        <f>I22</f>
        <v>1000</v>
      </c>
      <c r="J19" s="48">
        <f t="shared" ref="J19:M22" si="6">J20</f>
        <v>500</v>
      </c>
      <c r="K19" s="48">
        <f t="shared" si="6"/>
        <v>500</v>
      </c>
      <c r="L19" s="48">
        <f t="shared" si="6"/>
        <v>0</v>
      </c>
      <c r="M19" s="48">
        <f t="shared" si="6"/>
        <v>0</v>
      </c>
      <c r="N19" s="48">
        <f>N22</f>
        <v>0</v>
      </c>
      <c r="O19" s="48">
        <f t="shared" ref="O19:R21" si="7">O20</f>
        <v>0</v>
      </c>
      <c r="P19" s="48">
        <f t="shared" si="7"/>
        <v>0</v>
      </c>
      <c r="Q19" s="48">
        <f t="shared" si="7"/>
        <v>0</v>
      </c>
      <c r="R19" s="48">
        <f t="shared" si="7"/>
        <v>0</v>
      </c>
      <c r="T19" s="48">
        <f t="shared" si="1"/>
        <v>1000</v>
      </c>
    </row>
    <row r="20" spans="2:20" hidden="1" x14ac:dyDescent="0.25">
      <c r="B20" s="97">
        <f t="shared" si="2"/>
        <v>13</v>
      </c>
      <c r="C20" s="49"/>
      <c r="D20" s="49"/>
      <c r="E20" s="49"/>
      <c r="F20" s="49"/>
      <c r="G20" s="123"/>
      <c r="H20" s="49" t="s">
        <v>12</v>
      </c>
      <c r="I20" s="50" t="e">
        <f>#REF!+#REF!</f>
        <v>#REF!</v>
      </c>
      <c r="J20" s="50">
        <f t="shared" si="6"/>
        <v>500</v>
      </c>
      <c r="K20" s="50">
        <f t="shared" si="6"/>
        <v>500</v>
      </c>
      <c r="L20" s="50">
        <f t="shared" si="6"/>
        <v>0</v>
      </c>
      <c r="M20" s="50">
        <f t="shared" si="6"/>
        <v>0</v>
      </c>
      <c r="N20" s="50" t="e">
        <f>#REF!+#REF!</f>
        <v>#REF!</v>
      </c>
      <c r="O20" s="50">
        <f t="shared" si="7"/>
        <v>0</v>
      </c>
      <c r="P20" s="50">
        <f t="shared" si="7"/>
        <v>0</v>
      </c>
      <c r="Q20" s="50">
        <f t="shared" si="7"/>
        <v>0</v>
      </c>
      <c r="R20" s="50">
        <f t="shared" si="7"/>
        <v>0</v>
      </c>
      <c r="T20" s="50" t="e">
        <f t="shared" si="1"/>
        <v>#REF!</v>
      </c>
    </row>
    <row r="21" spans="2:20" hidden="1" x14ac:dyDescent="0.25">
      <c r="B21" s="97">
        <f t="shared" si="2"/>
        <v>14</v>
      </c>
      <c r="C21" s="51"/>
      <c r="D21" s="51"/>
      <c r="E21" s="51" t="s">
        <v>60</v>
      </c>
      <c r="F21" s="51"/>
      <c r="G21" s="124"/>
      <c r="H21" s="51"/>
      <c r="I21" s="52" t="e">
        <f>#REF!+#REF!</f>
        <v>#REF!</v>
      </c>
      <c r="J21" s="52">
        <f t="shared" si="6"/>
        <v>500</v>
      </c>
      <c r="K21" s="52">
        <f t="shared" si="6"/>
        <v>500</v>
      </c>
      <c r="L21" s="52">
        <f t="shared" si="6"/>
        <v>0</v>
      </c>
      <c r="M21" s="52">
        <f t="shared" si="6"/>
        <v>0</v>
      </c>
      <c r="N21" s="52" t="e">
        <f>#REF!+#REF!</f>
        <v>#REF!</v>
      </c>
      <c r="O21" s="52">
        <f t="shared" si="7"/>
        <v>0</v>
      </c>
      <c r="P21" s="52">
        <f t="shared" si="7"/>
        <v>0</v>
      </c>
      <c r="Q21" s="52">
        <f t="shared" si="7"/>
        <v>0</v>
      </c>
      <c r="R21" s="52">
        <f t="shared" si="7"/>
        <v>0</v>
      </c>
      <c r="T21" s="52" t="e">
        <f t="shared" si="1"/>
        <v>#REF!</v>
      </c>
    </row>
    <row r="22" spans="2:20" x14ac:dyDescent="0.25">
      <c r="B22" s="97">
        <f t="shared" si="2"/>
        <v>15</v>
      </c>
      <c r="C22" s="29"/>
      <c r="D22" s="29"/>
      <c r="E22" s="29"/>
      <c r="F22" s="53" t="s">
        <v>302</v>
      </c>
      <c r="G22" s="125">
        <v>630</v>
      </c>
      <c r="H22" s="29" t="s">
        <v>303</v>
      </c>
      <c r="I22" s="15">
        <f>I23</f>
        <v>1000</v>
      </c>
      <c r="J22" s="15">
        <f t="shared" si="6"/>
        <v>500</v>
      </c>
      <c r="K22" s="15">
        <f t="shared" si="6"/>
        <v>500</v>
      </c>
      <c r="L22" s="15">
        <f t="shared" si="6"/>
        <v>0</v>
      </c>
      <c r="M22" s="15">
        <f t="shared" si="6"/>
        <v>0</v>
      </c>
      <c r="N22" s="15"/>
      <c r="O22" s="15"/>
      <c r="P22" s="15"/>
      <c r="Q22" s="15"/>
      <c r="R22" s="15"/>
      <c r="T22" s="15">
        <f t="shared" si="1"/>
        <v>1000</v>
      </c>
    </row>
    <row r="23" spans="2:20" x14ac:dyDescent="0.25">
      <c r="B23" s="97">
        <f t="shared" si="2"/>
        <v>16</v>
      </c>
      <c r="C23" s="9"/>
      <c r="D23" s="9"/>
      <c r="E23" s="9"/>
      <c r="F23" s="54" t="s">
        <v>302</v>
      </c>
      <c r="G23" s="126">
        <v>633</v>
      </c>
      <c r="H23" s="9" t="s">
        <v>305</v>
      </c>
      <c r="I23" s="10">
        <v>1000</v>
      </c>
      <c r="J23" s="10">
        <v>500</v>
      </c>
      <c r="K23" s="10">
        <v>500</v>
      </c>
      <c r="L23" s="10"/>
      <c r="M23" s="10">
        <v>0</v>
      </c>
      <c r="N23" s="10"/>
      <c r="O23" s="10"/>
      <c r="P23" s="10"/>
      <c r="Q23" s="10"/>
      <c r="R23" s="10"/>
      <c r="T23" s="10">
        <f t="shared" si="1"/>
        <v>1000</v>
      </c>
    </row>
    <row r="24" spans="2:20" x14ac:dyDescent="0.25">
      <c r="B24" s="97">
        <f t="shared" si="2"/>
        <v>17</v>
      </c>
      <c r="C24" s="47"/>
      <c r="D24" s="47">
        <v>3</v>
      </c>
      <c r="E24" s="296" t="s">
        <v>310</v>
      </c>
      <c r="F24" s="294"/>
      <c r="G24" s="294"/>
      <c r="H24" s="295"/>
      <c r="I24" s="48">
        <f>I27</f>
        <v>1000</v>
      </c>
      <c r="J24" s="48">
        <f t="shared" ref="J24:M27" si="8">J25</f>
        <v>500</v>
      </c>
      <c r="K24" s="48">
        <f t="shared" si="8"/>
        <v>500</v>
      </c>
      <c r="L24" s="48">
        <f t="shared" si="8"/>
        <v>378.27</v>
      </c>
      <c r="M24" s="48">
        <f t="shared" si="8"/>
        <v>185</v>
      </c>
      <c r="N24" s="48">
        <f>N27</f>
        <v>0</v>
      </c>
      <c r="O24" s="48">
        <f t="shared" ref="O24:R26" si="9">O25</f>
        <v>0</v>
      </c>
      <c r="P24" s="48">
        <f t="shared" si="9"/>
        <v>0</v>
      </c>
      <c r="Q24" s="48">
        <f t="shared" si="9"/>
        <v>0</v>
      </c>
      <c r="R24" s="48">
        <f t="shared" si="9"/>
        <v>0</v>
      </c>
      <c r="T24" s="48">
        <f t="shared" si="1"/>
        <v>1000</v>
      </c>
    </row>
    <row r="25" spans="2:20" hidden="1" x14ac:dyDescent="0.25">
      <c r="B25" s="97">
        <f t="shared" si="2"/>
        <v>18</v>
      </c>
      <c r="C25" s="49"/>
      <c r="D25" s="49"/>
      <c r="E25" s="49"/>
      <c r="F25" s="49"/>
      <c r="G25" s="123"/>
      <c r="H25" s="49" t="s">
        <v>12</v>
      </c>
      <c r="I25" s="50" t="e">
        <f>#REF!+#REF!</f>
        <v>#REF!</v>
      </c>
      <c r="J25" s="50">
        <f t="shared" si="8"/>
        <v>500</v>
      </c>
      <c r="K25" s="50">
        <f t="shared" si="8"/>
        <v>500</v>
      </c>
      <c r="L25" s="50">
        <f t="shared" si="8"/>
        <v>378.27</v>
      </c>
      <c r="M25" s="50">
        <f t="shared" si="8"/>
        <v>185</v>
      </c>
      <c r="N25" s="50" t="e">
        <f>#REF!+#REF!</f>
        <v>#REF!</v>
      </c>
      <c r="O25" s="50">
        <f t="shared" si="9"/>
        <v>0</v>
      </c>
      <c r="P25" s="50">
        <f t="shared" si="9"/>
        <v>0</v>
      </c>
      <c r="Q25" s="50">
        <f t="shared" si="9"/>
        <v>0</v>
      </c>
      <c r="R25" s="50">
        <f t="shared" si="9"/>
        <v>0</v>
      </c>
      <c r="T25" s="50" t="e">
        <f t="shared" si="1"/>
        <v>#REF!</v>
      </c>
    </row>
    <row r="26" spans="2:20" hidden="1" x14ac:dyDescent="0.25">
      <c r="B26" s="97">
        <f t="shared" si="2"/>
        <v>19</v>
      </c>
      <c r="C26" s="51"/>
      <c r="D26" s="51"/>
      <c r="E26" s="51" t="s">
        <v>60</v>
      </c>
      <c r="F26" s="51"/>
      <c r="G26" s="124"/>
      <c r="H26" s="51"/>
      <c r="I26" s="52" t="e">
        <f>#REF!+#REF!</f>
        <v>#REF!</v>
      </c>
      <c r="J26" s="52">
        <f t="shared" si="8"/>
        <v>500</v>
      </c>
      <c r="K26" s="52">
        <f t="shared" si="8"/>
        <v>500</v>
      </c>
      <c r="L26" s="52">
        <f t="shared" si="8"/>
        <v>378.27</v>
      </c>
      <c r="M26" s="52">
        <f t="shared" si="8"/>
        <v>185</v>
      </c>
      <c r="N26" s="52" t="e">
        <f>#REF!+#REF!</f>
        <v>#REF!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T26" s="52" t="e">
        <f t="shared" si="1"/>
        <v>#REF!</v>
      </c>
    </row>
    <row r="27" spans="2:20" x14ac:dyDescent="0.25">
      <c r="B27" s="97">
        <f t="shared" si="2"/>
        <v>20</v>
      </c>
      <c r="C27" s="29"/>
      <c r="D27" s="29"/>
      <c r="E27" s="29"/>
      <c r="F27" s="53" t="s">
        <v>302</v>
      </c>
      <c r="G27" s="125">
        <v>630</v>
      </c>
      <c r="H27" s="29" t="s">
        <v>303</v>
      </c>
      <c r="I27" s="15">
        <f>I28</f>
        <v>1000</v>
      </c>
      <c r="J27" s="15">
        <f t="shared" si="8"/>
        <v>500</v>
      </c>
      <c r="K27" s="15">
        <f t="shared" si="8"/>
        <v>500</v>
      </c>
      <c r="L27" s="15">
        <f t="shared" si="8"/>
        <v>378.27</v>
      </c>
      <c r="M27" s="15">
        <f t="shared" si="8"/>
        <v>185</v>
      </c>
      <c r="N27" s="15"/>
      <c r="O27" s="15"/>
      <c r="P27" s="15"/>
      <c r="Q27" s="15"/>
      <c r="R27" s="15"/>
      <c r="T27" s="15">
        <f t="shared" si="1"/>
        <v>1000</v>
      </c>
    </row>
    <row r="28" spans="2:20" x14ac:dyDescent="0.25">
      <c r="B28" s="97">
        <f t="shared" si="2"/>
        <v>21</v>
      </c>
      <c r="C28" s="9"/>
      <c r="D28" s="9"/>
      <c r="E28" s="9"/>
      <c r="F28" s="54" t="s">
        <v>302</v>
      </c>
      <c r="G28" s="126">
        <v>633</v>
      </c>
      <c r="H28" s="9" t="s">
        <v>305</v>
      </c>
      <c r="I28" s="10">
        <v>1000</v>
      </c>
      <c r="J28" s="10">
        <v>500</v>
      </c>
      <c r="K28" s="10">
        <v>500</v>
      </c>
      <c r="L28" s="10">
        <v>378.27</v>
      </c>
      <c r="M28" s="10">
        <v>185</v>
      </c>
      <c r="N28" s="10"/>
      <c r="O28" s="10"/>
      <c r="P28" s="10"/>
      <c r="Q28" s="10"/>
      <c r="R28" s="10"/>
      <c r="T28" s="10">
        <f t="shared" si="1"/>
        <v>1000</v>
      </c>
    </row>
    <row r="29" spans="2:20" x14ac:dyDescent="0.25">
      <c r="B29" s="97">
        <f t="shared" si="2"/>
        <v>22</v>
      </c>
      <c r="C29" s="47"/>
      <c r="D29" s="47">
        <v>4</v>
      </c>
      <c r="E29" s="296" t="s">
        <v>311</v>
      </c>
      <c r="F29" s="294"/>
      <c r="G29" s="294"/>
      <c r="H29" s="295"/>
      <c r="I29" s="48">
        <f>I32</f>
        <v>1000</v>
      </c>
      <c r="J29" s="48">
        <f t="shared" ref="J29:M32" si="10">J30</f>
        <v>800</v>
      </c>
      <c r="K29" s="48">
        <f t="shared" si="10"/>
        <v>800</v>
      </c>
      <c r="L29" s="48">
        <f t="shared" si="10"/>
        <v>756</v>
      </c>
      <c r="M29" s="48">
        <f t="shared" si="10"/>
        <v>720</v>
      </c>
      <c r="N29" s="48">
        <f>N32</f>
        <v>0</v>
      </c>
      <c r="O29" s="48">
        <f t="shared" ref="O29:R31" si="11">O30</f>
        <v>0</v>
      </c>
      <c r="P29" s="48">
        <f t="shared" si="11"/>
        <v>0</v>
      </c>
      <c r="Q29" s="48">
        <f t="shared" si="11"/>
        <v>0</v>
      </c>
      <c r="R29" s="48">
        <f t="shared" si="11"/>
        <v>0</v>
      </c>
      <c r="T29" s="48">
        <f t="shared" si="1"/>
        <v>1000</v>
      </c>
    </row>
    <row r="30" spans="2:20" hidden="1" x14ac:dyDescent="0.25">
      <c r="B30" s="97">
        <f t="shared" si="2"/>
        <v>23</v>
      </c>
      <c r="C30" s="49"/>
      <c r="D30" s="49"/>
      <c r="E30" s="49"/>
      <c r="F30" s="49"/>
      <c r="G30" s="123"/>
      <c r="H30" s="49" t="s">
        <v>12</v>
      </c>
      <c r="I30" s="50" t="e">
        <f>#REF!+#REF!</f>
        <v>#REF!</v>
      </c>
      <c r="J30" s="50">
        <f t="shared" si="10"/>
        <v>800</v>
      </c>
      <c r="K30" s="50">
        <f t="shared" si="10"/>
        <v>800</v>
      </c>
      <c r="L30" s="50">
        <f t="shared" si="10"/>
        <v>756</v>
      </c>
      <c r="M30" s="50">
        <f t="shared" si="10"/>
        <v>720</v>
      </c>
      <c r="N30" s="50" t="e">
        <f>#REF!+#REF!</f>
        <v>#REF!</v>
      </c>
      <c r="O30" s="50">
        <f t="shared" si="11"/>
        <v>0</v>
      </c>
      <c r="P30" s="50">
        <f t="shared" si="11"/>
        <v>0</v>
      </c>
      <c r="Q30" s="50">
        <f t="shared" si="11"/>
        <v>0</v>
      </c>
      <c r="R30" s="50">
        <f t="shared" si="11"/>
        <v>0</v>
      </c>
      <c r="T30" s="50" t="e">
        <f t="shared" si="1"/>
        <v>#REF!</v>
      </c>
    </row>
    <row r="31" spans="2:20" hidden="1" x14ac:dyDescent="0.25">
      <c r="B31" s="97">
        <f t="shared" si="2"/>
        <v>24</v>
      </c>
      <c r="C31" s="51"/>
      <c r="D31" s="51"/>
      <c r="E31" s="51" t="s">
        <v>60</v>
      </c>
      <c r="F31" s="51"/>
      <c r="G31" s="124"/>
      <c r="H31" s="51"/>
      <c r="I31" s="52" t="e">
        <f>#REF!+#REF!</f>
        <v>#REF!</v>
      </c>
      <c r="J31" s="52">
        <f t="shared" si="10"/>
        <v>800</v>
      </c>
      <c r="K31" s="52">
        <f t="shared" si="10"/>
        <v>800</v>
      </c>
      <c r="L31" s="52">
        <f t="shared" si="10"/>
        <v>756</v>
      </c>
      <c r="M31" s="52">
        <f t="shared" si="10"/>
        <v>720</v>
      </c>
      <c r="N31" s="52" t="e">
        <f>#REF!+#REF!</f>
        <v>#REF!</v>
      </c>
      <c r="O31" s="52">
        <f t="shared" si="11"/>
        <v>0</v>
      </c>
      <c r="P31" s="52">
        <f t="shared" si="11"/>
        <v>0</v>
      </c>
      <c r="Q31" s="52">
        <f t="shared" si="11"/>
        <v>0</v>
      </c>
      <c r="R31" s="52">
        <f t="shared" si="11"/>
        <v>0</v>
      </c>
      <c r="T31" s="52" t="e">
        <f t="shared" si="1"/>
        <v>#REF!</v>
      </c>
    </row>
    <row r="32" spans="2:20" x14ac:dyDescent="0.25">
      <c r="B32" s="97">
        <f t="shared" si="2"/>
        <v>25</v>
      </c>
      <c r="C32" s="29"/>
      <c r="D32" s="29"/>
      <c r="E32" s="29"/>
      <c r="F32" s="53" t="s">
        <v>302</v>
      </c>
      <c r="G32" s="125">
        <v>630</v>
      </c>
      <c r="H32" s="29" t="s">
        <v>303</v>
      </c>
      <c r="I32" s="15">
        <f>I33</f>
        <v>1000</v>
      </c>
      <c r="J32" s="15">
        <f t="shared" si="10"/>
        <v>800</v>
      </c>
      <c r="K32" s="15">
        <f t="shared" si="10"/>
        <v>800</v>
      </c>
      <c r="L32" s="15">
        <f t="shared" si="10"/>
        <v>756</v>
      </c>
      <c r="M32" s="15">
        <f t="shared" si="10"/>
        <v>720</v>
      </c>
      <c r="N32" s="15"/>
      <c r="O32" s="15"/>
      <c r="P32" s="15"/>
      <c r="Q32" s="15"/>
      <c r="R32" s="15"/>
      <c r="T32" s="15">
        <f t="shared" si="1"/>
        <v>1000</v>
      </c>
    </row>
    <row r="33" spans="2:20" x14ac:dyDescent="0.25">
      <c r="B33" s="97">
        <f t="shared" si="2"/>
        <v>26</v>
      </c>
      <c r="C33" s="9"/>
      <c r="D33" s="9"/>
      <c r="E33" s="9"/>
      <c r="F33" s="54" t="s">
        <v>302</v>
      </c>
      <c r="G33" s="126">
        <v>637</v>
      </c>
      <c r="H33" s="9" t="s">
        <v>308</v>
      </c>
      <c r="I33" s="10">
        <v>1000</v>
      </c>
      <c r="J33" s="10">
        <v>800</v>
      </c>
      <c r="K33" s="10">
        <v>800</v>
      </c>
      <c r="L33" s="10">
        <v>756</v>
      </c>
      <c r="M33" s="10">
        <v>720</v>
      </c>
      <c r="N33" s="10"/>
      <c r="O33" s="10"/>
      <c r="P33" s="10"/>
      <c r="Q33" s="10"/>
      <c r="R33" s="10"/>
      <c r="T33" s="10">
        <f t="shared" si="1"/>
        <v>1000</v>
      </c>
    </row>
    <row r="34" spans="2:20" x14ac:dyDescent="0.25">
      <c r="B34" s="97">
        <f t="shared" si="2"/>
        <v>27</v>
      </c>
      <c r="C34" s="47"/>
      <c r="D34" s="47">
        <v>5</v>
      </c>
      <c r="E34" s="296" t="s">
        <v>312</v>
      </c>
      <c r="F34" s="294"/>
      <c r="G34" s="294"/>
      <c r="H34" s="295"/>
      <c r="I34" s="48">
        <f>I37+I38</f>
        <v>164700</v>
      </c>
      <c r="J34" s="48">
        <f t="shared" ref="J34:R34" si="12">J37+J38</f>
        <v>160000</v>
      </c>
      <c r="K34" s="48">
        <f t="shared" si="12"/>
        <v>160000</v>
      </c>
      <c r="L34" s="48">
        <f t="shared" si="12"/>
        <v>146126.07</v>
      </c>
      <c r="M34" s="48">
        <f t="shared" si="12"/>
        <v>127605</v>
      </c>
      <c r="N34" s="48">
        <f t="shared" si="12"/>
        <v>0</v>
      </c>
      <c r="O34" s="48">
        <f t="shared" si="12"/>
        <v>0</v>
      </c>
      <c r="P34" s="48">
        <f t="shared" si="12"/>
        <v>0</v>
      </c>
      <c r="Q34" s="48">
        <f t="shared" si="12"/>
        <v>0</v>
      </c>
      <c r="R34" s="48">
        <f t="shared" si="12"/>
        <v>0</v>
      </c>
      <c r="T34" s="48">
        <f t="shared" si="1"/>
        <v>164700</v>
      </c>
    </row>
    <row r="35" spans="2:20" hidden="1" x14ac:dyDescent="0.25">
      <c r="B35" s="97">
        <f t="shared" si="2"/>
        <v>28</v>
      </c>
      <c r="C35" s="49"/>
      <c r="D35" s="49"/>
      <c r="E35" s="49"/>
      <c r="F35" s="49"/>
      <c r="G35" s="123"/>
      <c r="H35" s="49" t="s">
        <v>12</v>
      </c>
      <c r="I35" s="50" t="e">
        <f>#REF!+#REF!</f>
        <v>#REF!</v>
      </c>
      <c r="J35" s="50" t="e">
        <f t="shared" ref="J35:M35" si="13">J36</f>
        <v>#REF!</v>
      </c>
      <c r="K35" s="50" t="e">
        <f t="shared" si="13"/>
        <v>#REF!</v>
      </c>
      <c r="L35" s="50" t="e">
        <f t="shared" si="13"/>
        <v>#REF!</v>
      </c>
      <c r="M35" s="50" t="e">
        <f t="shared" si="13"/>
        <v>#REF!</v>
      </c>
      <c r="N35" s="50" t="e">
        <f>#REF!+#REF!</f>
        <v>#REF!</v>
      </c>
      <c r="O35" s="50" t="e">
        <f t="shared" ref="O35:R35" si="14">O36</f>
        <v>#REF!</v>
      </c>
      <c r="P35" s="50" t="e">
        <f t="shared" si="14"/>
        <v>#REF!</v>
      </c>
      <c r="Q35" s="50" t="e">
        <f t="shared" si="14"/>
        <v>#REF!</v>
      </c>
      <c r="R35" s="50" t="e">
        <f t="shared" si="14"/>
        <v>#REF!</v>
      </c>
      <c r="T35" s="50" t="e">
        <f t="shared" si="1"/>
        <v>#REF!</v>
      </c>
    </row>
    <row r="36" spans="2:20" hidden="1" x14ac:dyDescent="0.25">
      <c r="B36" s="97">
        <f t="shared" si="2"/>
        <v>29</v>
      </c>
      <c r="C36" s="51"/>
      <c r="D36" s="51"/>
      <c r="E36" s="51" t="s">
        <v>60</v>
      </c>
      <c r="F36" s="51"/>
      <c r="G36" s="124"/>
      <c r="H36" s="51"/>
      <c r="I36" s="52" t="e">
        <f>#REF!+#REF!</f>
        <v>#REF!</v>
      </c>
      <c r="J36" s="52" t="e">
        <f>#REF!+J38+J37</f>
        <v>#REF!</v>
      </c>
      <c r="K36" s="52" t="e">
        <f>#REF!+K38+K37</f>
        <v>#REF!</v>
      </c>
      <c r="L36" s="52" t="e">
        <f>#REF!+L38+L37</f>
        <v>#REF!</v>
      </c>
      <c r="M36" s="52" t="e">
        <f>#REF!+M38+M37</f>
        <v>#REF!</v>
      </c>
      <c r="N36" s="52" t="e">
        <f>#REF!+#REF!</f>
        <v>#REF!</v>
      </c>
      <c r="O36" s="52" t="e">
        <f>#REF!+O38+O37</f>
        <v>#REF!</v>
      </c>
      <c r="P36" s="52" t="e">
        <f>#REF!+P38+P37</f>
        <v>#REF!</v>
      </c>
      <c r="Q36" s="52" t="e">
        <f>#REF!+Q38+Q37</f>
        <v>#REF!</v>
      </c>
      <c r="R36" s="52" t="e">
        <f>#REF!+R38+R37</f>
        <v>#REF!</v>
      </c>
      <c r="T36" s="52" t="e">
        <f t="shared" si="1"/>
        <v>#REF!</v>
      </c>
    </row>
    <row r="37" spans="2:20" x14ac:dyDescent="0.25">
      <c r="B37" s="97">
        <f t="shared" si="2"/>
        <v>30</v>
      </c>
      <c r="C37" s="29"/>
      <c r="D37" s="29"/>
      <c r="E37" s="29"/>
      <c r="F37" s="53" t="s">
        <v>302</v>
      </c>
      <c r="G37" s="125">
        <v>620</v>
      </c>
      <c r="H37" s="29" t="s">
        <v>313</v>
      </c>
      <c r="I37" s="15">
        <v>39650</v>
      </c>
      <c r="J37" s="15">
        <v>38450</v>
      </c>
      <c r="K37" s="15">
        <v>38450</v>
      </c>
      <c r="L37" s="15">
        <v>29503.040000000001</v>
      </c>
      <c r="M37" s="15">
        <v>29079</v>
      </c>
      <c r="N37" s="15"/>
      <c r="O37" s="15"/>
      <c r="P37" s="15"/>
      <c r="Q37" s="15"/>
      <c r="R37" s="15"/>
      <c r="T37" s="15">
        <f t="shared" si="1"/>
        <v>39650</v>
      </c>
    </row>
    <row r="38" spans="2:20" x14ac:dyDescent="0.25">
      <c r="B38" s="97">
        <f t="shared" si="2"/>
        <v>31</v>
      </c>
      <c r="C38" s="29"/>
      <c r="D38" s="29"/>
      <c r="E38" s="29"/>
      <c r="F38" s="53" t="s">
        <v>302</v>
      </c>
      <c r="G38" s="125">
        <v>630</v>
      </c>
      <c r="H38" s="29" t="s">
        <v>303</v>
      </c>
      <c r="I38" s="15">
        <f>SUM(I39:I41)</f>
        <v>125050</v>
      </c>
      <c r="J38" s="15">
        <f t="shared" ref="J38:M38" si="15">J41+J40+J39</f>
        <v>121550</v>
      </c>
      <c r="K38" s="15">
        <f t="shared" si="15"/>
        <v>121550</v>
      </c>
      <c r="L38" s="15">
        <f t="shared" si="15"/>
        <v>116623.03</v>
      </c>
      <c r="M38" s="15">
        <f t="shared" si="15"/>
        <v>98526</v>
      </c>
      <c r="N38" s="15"/>
      <c r="O38" s="15"/>
      <c r="P38" s="15"/>
      <c r="Q38" s="15"/>
      <c r="R38" s="15"/>
      <c r="T38" s="15">
        <f t="shared" si="1"/>
        <v>125050</v>
      </c>
    </row>
    <row r="39" spans="2:20" x14ac:dyDescent="0.25">
      <c r="B39" s="97">
        <f t="shared" si="2"/>
        <v>32</v>
      </c>
      <c r="C39" s="9"/>
      <c r="D39" s="9"/>
      <c r="E39" s="9"/>
      <c r="F39" s="54" t="s">
        <v>302</v>
      </c>
      <c r="G39" s="126">
        <v>632</v>
      </c>
      <c r="H39" s="9" t="s">
        <v>314</v>
      </c>
      <c r="I39" s="10">
        <v>11550</v>
      </c>
      <c r="J39" s="10">
        <v>11550</v>
      </c>
      <c r="K39" s="10">
        <v>11550</v>
      </c>
      <c r="L39" s="10">
        <v>13098.7</v>
      </c>
      <c r="M39" s="10">
        <v>13135</v>
      </c>
      <c r="N39" s="10"/>
      <c r="O39" s="10"/>
      <c r="P39" s="10"/>
      <c r="Q39" s="10"/>
      <c r="R39" s="10"/>
      <c r="T39" s="10">
        <f t="shared" si="1"/>
        <v>11550</v>
      </c>
    </row>
    <row r="40" spans="2:20" x14ac:dyDescent="0.25">
      <c r="B40" s="97">
        <f t="shared" si="2"/>
        <v>33</v>
      </c>
      <c r="C40" s="9"/>
      <c r="D40" s="9"/>
      <c r="E40" s="9"/>
      <c r="F40" s="54" t="s">
        <v>302</v>
      </c>
      <c r="G40" s="126">
        <v>633</v>
      </c>
      <c r="H40" s="9" t="s">
        <v>305</v>
      </c>
      <c r="I40" s="10">
        <v>0</v>
      </c>
      <c r="J40" s="10">
        <v>0</v>
      </c>
      <c r="K40" s="10"/>
      <c r="L40" s="10">
        <v>18248</v>
      </c>
      <c r="M40" s="10">
        <v>195</v>
      </c>
      <c r="N40" s="10"/>
      <c r="O40" s="10"/>
      <c r="P40" s="10"/>
      <c r="Q40" s="10"/>
      <c r="R40" s="10"/>
      <c r="T40" s="10">
        <f t="shared" si="1"/>
        <v>0</v>
      </c>
    </row>
    <row r="41" spans="2:20" x14ac:dyDescent="0.25">
      <c r="B41" s="97">
        <f t="shared" si="2"/>
        <v>34</v>
      </c>
      <c r="C41" s="9"/>
      <c r="D41" s="9"/>
      <c r="E41" s="9"/>
      <c r="F41" s="54" t="s">
        <v>302</v>
      </c>
      <c r="G41" s="126">
        <v>637</v>
      </c>
      <c r="H41" s="9" t="s">
        <v>308</v>
      </c>
      <c r="I41" s="10">
        <v>113500</v>
      </c>
      <c r="J41" s="10">
        <v>110000</v>
      </c>
      <c r="K41" s="10">
        <v>110000</v>
      </c>
      <c r="L41" s="10">
        <v>85276.33</v>
      </c>
      <c r="M41" s="10">
        <v>85196</v>
      </c>
      <c r="N41" s="10"/>
      <c r="O41" s="10"/>
      <c r="P41" s="10"/>
      <c r="Q41" s="10"/>
      <c r="R41" s="10"/>
      <c r="T41" s="10">
        <f t="shared" si="1"/>
        <v>113500</v>
      </c>
    </row>
    <row r="42" spans="2:20" ht="15.75" x14ac:dyDescent="0.25">
      <c r="B42" s="97">
        <f t="shared" si="2"/>
        <v>35</v>
      </c>
      <c r="C42" s="45">
        <v>2</v>
      </c>
      <c r="D42" s="293" t="s">
        <v>317</v>
      </c>
      <c r="E42" s="294"/>
      <c r="F42" s="294"/>
      <c r="G42" s="294"/>
      <c r="H42" s="295"/>
      <c r="I42" s="46">
        <f>I46+I47</f>
        <v>160200</v>
      </c>
      <c r="J42" s="46">
        <f t="shared" ref="J42:M44" si="16">J43</f>
        <v>150200</v>
      </c>
      <c r="K42" s="46">
        <f t="shared" si="16"/>
        <v>150200</v>
      </c>
      <c r="L42" s="46">
        <f t="shared" si="16"/>
        <v>31588.9</v>
      </c>
      <c r="M42" s="46">
        <f t="shared" si="16"/>
        <v>37478.6</v>
      </c>
      <c r="N42" s="46">
        <f>N46+N47+N53</f>
        <v>125000</v>
      </c>
      <c r="O42" s="46">
        <f t="shared" ref="O42:R44" si="17">O43</f>
        <v>45000</v>
      </c>
      <c r="P42" s="46">
        <f t="shared" si="17"/>
        <v>35000</v>
      </c>
      <c r="Q42" s="46">
        <f t="shared" si="17"/>
        <v>12000</v>
      </c>
      <c r="R42" s="46">
        <f t="shared" si="17"/>
        <v>91791.5</v>
      </c>
      <c r="T42" s="46">
        <f t="shared" si="1"/>
        <v>285200</v>
      </c>
    </row>
    <row r="43" spans="2:20" hidden="1" x14ac:dyDescent="0.25">
      <c r="B43" s="97">
        <f t="shared" si="2"/>
        <v>36</v>
      </c>
      <c r="C43" s="47"/>
      <c r="D43" s="47" t="s">
        <v>60</v>
      </c>
      <c r="E43" s="296"/>
      <c r="F43" s="294"/>
      <c r="G43" s="294"/>
      <c r="H43" s="295"/>
      <c r="I43" s="48" t="e">
        <f>#REF!+#REF!</f>
        <v>#REF!</v>
      </c>
      <c r="J43" s="48">
        <f t="shared" si="16"/>
        <v>150200</v>
      </c>
      <c r="K43" s="48">
        <f t="shared" si="16"/>
        <v>150200</v>
      </c>
      <c r="L43" s="48">
        <f t="shared" si="16"/>
        <v>31588.9</v>
      </c>
      <c r="M43" s="48">
        <f t="shared" si="16"/>
        <v>37478.6</v>
      </c>
      <c r="N43" s="48" t="e">
        <f>#REF!+#REF!</f>
        <v>#REF!</v>
      </c>
      <c r="O43" s="48">
        <f t="shared" si="17"/>
        <v>45000</v>
      </c>
      <c r="P43" s="48">
        <f t="shared" si="17"/>
        <v>35000</v>
      </c>
      <c r="Q43" s="48">
        <f t="shared" si="17"/>
        <v>12000</v>
      </c>
      <c r="R43" s="48">
        <f t="shared" si="17"/>
        <v>91791.5</v>
      </c>
      <c r="T43" s="48" t="e">
        <f t="shared" si="1"/>
        <v>#REF!</v>
      </c>
    </row>
    <row r="44" spans="2:20" hidden="1" x14ac:dyDescent="0.25">
      <c r="B44" s="97">
        <f t="shared" si="2"/>
        <v>37</v>
      </c>
      <c r="C44" s="49"/>
      <c r="D44" s="49"/>
      <c r="E44" s="49"/>
      <c r="F44" s="49"/>
      <c r="G44" s="123"/>
      <c r="H44" s="49" t="s">
        <v>12</v>
      </c>
      <c r="I44" s="50" t="e">
        <f>#REF!+#REF!</f>
        <v>#REF!</v>
      </c>
      <c r="J44" s="50">
        <f t="shared" si="16"/>
        <v>150200</v>
      </c>
      <c r="K44" s="50">
        <f t="shared" si="16"/>
        <v>150200</v>
      </c>
      <c r="L44" s="50">
        <f t="shared" si="16"/>
        <v>31588.9</v>
      </c>
      <c r="M44" s="50">
        <f t="shared" si="16"/>
        <v>37478.6</v>
      </c>
      <c r="N44" s="50" t="e">
        <f>#REF!+#REF!</f>
        <v>#REF!</v>
      </c>
      <c r="O44" s="50">
        <f t="shared" si="17"/>
        <v>45000</v>
      </c>
      <c r="P44" s="50">
        <f t="shared" si="17"/>
        <v>35000</v>
      </c>
      <c r="Q44" s="50">
        <f t="shared" si="17"/>
        <v>12000</v>
      </c>
      <c r="R44" s="50">
        <f t="shared" si="17"/>
        <v>91791.5</v>
      </c>
      <c r="T44" s="50" t="e">
        <f t="shared" si="1"/>
        <v>#REF!</v>
      </c>
    </row>
    <row r="45" spans="2:20" hidden="1" x14ac:dyDescent="0.25">
      <c r="B45" s="97">
        <f t="shared" si="2"/>
        <v>38</v>
      </c>
      <c r="C45" s="51"/>
      <c r="D45" s="51"/>
      <c r="E45" s="51" t="s">
        <v>60</v>
      </c>
      <c r="F45" s="51"/>
      <c r="G45" s="124"/>
      <c r="H45" s="51" t="s">
        <v>318</v>
      </c>
      <c r="I45" s="52" t="e">
        <f>#REF!+#REF!</f>
        <v>#REF!</v>
      </c>
      <c r="J45" s="52">
        <f t="shared" ref="J45:R45" si="18">J53+J47+J46</f>
        <v>150200</v>
      </c>
      <c r="K45" s="52">
        <f t="shared" si="18"/>
        <v>150200</v>
      </c>
      <c r="L45" s="52">
        <f t="shared" si="18"/>
        <v>31588.9</v>
      </c>
      <c r="M45" s="52">
        <f t="shared" si="18"/>
        <v>37478.6</v>
      </c>
      <c r="N45" s="52" t="e">
        <f>#REF!+#REF!</f>
        <v>#REF!</v>
      </c>
      <c r="O45" s="52">
        <f t="shared" si="18"/>
        <v>45000</v>
      </c>
      <c r="P45" s="52">
        <f t="shared" si="18"/>
        <v>35000</v>
      </c>
      <c r="Q45" s="52">
        <f t="shared" si="18"/>
        <v>12000</v>
      </c>
      <c r="R45" s="52">
        <f t="shared" si="18"/>
        <v>91791.5</v>
      </c>
      <c r="T45" s="52" t="e">
        <f t="shared" si="1"/>
        <v>#REF!</v>
      </c>
    </row>
    <row r="46" spans="2:20" x14ac:dyDescent="0.25">
      <c r="B46" s="97">
        <f t="shared" si="2"/>
        <v>39</v>
      </c>
      <c r="C46" s="29"/>
      <c r="D46" s="29"/>
      <c r="E46" s="29"/>
      <c r="F46" s="53" t="s">
        <v>319</v>
      </c>
      <c r="G46" s="125">
        <v>620</v>
      </c>
      <c r="H46" s="29" t="s">
        <v>313</v>
      </c>
      <c r="I46" s="15">
        <f>4000+4000</f>
        <v>8000</v>
      </c>
      <c r="J46" s="15">
        <v>10200</v>
      </c>
      <c r="K46" s="15">
        <v>10200</v>
      </c>
      <c r="L46" s="15">
        <v>1780.9</v>
      </c>
      <c r="M46" s="15">
        <v>1598</v>
      </c>
      <c r="N46" s="15"/>
      <c r="O46" s="15"/>
      <c r="P46" s="15"/>
      <c r="Q46" s="15"/>
      <c r="R46" s="15"/>
      <c r="T46" s="15">
        <f t="shared" si="1"/>
        <v>8000</v>
      </c>
    </row>
    <row r="47" spans="2:20" x14ac:dyDescent="0.25">
      <c r="B47" s="97">
        <f t="shared" si="2"/>
        <v>40</v>
      </c>
      <c r="C47" s="29"/>
      <c r="D47" s="29"/>
      <c r="E47" s="29"/>
      <c r="F47" s="53" t="s">
        <v>319</v>
      </c>
      <c r="G47" s="125">
        <v>630</v>
      </c>
      <c r="H47" s="29" t="s">
        <v>303</v>
      </c>
      <c r="I47" s="15">
        <f>SUM(I48:I52)</f>
        <v>152200</v>
      </c>
      <c r="J47" s="15">
        <f t="shared" ref="J47:M47" si="19">J52+J51+J50+J49+J48</f>
        <v>140000</v>
      </c>
      <c r="K47" s="15">
        <f t="shared" si="19"/>
        <v>140000</v>
      </c>
      <c r="L47" s="15">
        <f t="shared" si="19"/>
        <v>29808</v>
      </c>
      <c r="M47" s="15">
        <f t="shared" si="19"/>
        <v>35880.6</v>
      </c>
      <c r="N47" s="15"/>
      <c r="O47" s="15"/>
      <c r="P47" s="15"/>
      <c r="Q47" s="15"/>
      <c r="R47" s="15"/>
      <c r="T47" s="15">
        <f t="shared" si="1"/>
        <v>152200</v>
      </c>
    </row>
    <row r="48" spans="2:20" x14ac:dyDescent="0.25">
      <c r="B48" s="97">
        <f t="shared" si="2"/>
        <v>41</v>
      </c>
      <c r="C48" s="9"/>
      <c r="D48" s="9"/>
      <c r="E48" s="9"/>
      <c r="F48" s="54" t="s">
        <v>319</v>
      </c>
      <c r="G48" s="126">
        <v>631</v>
      </c>
      <c r="H48" s="9" t="s">
        <v>304</v>
      </c>
      <c r="I48" s="10">
        <v>500</v>
      </c>
      <c r="J48" s="10">
        <v>0</v>
      </c>
      <c r="K48" s="10">
        <v>0</v>
      </c>
      <c r="L48" s="10">
        <v>0</v>
      </c>
      <c r="M48" s="10">
        <v>0</v>
      </c>
      <c r="N48" s="10"/>
      <c r="O48" s="10"/>
      <c r="P48" s="10"/>
      <c r="Q48" s="10"/>
      <c r="R48" s="10"/>
      <c r="T48" s="10">
        <f t="shared" si="1"/>
        <v>500</v>
      </c>
    </row>
    <row r="49" spans="2:20" x14ac:dyDescent="0.25">
      <c r="B49" s="97">
        <f t="shared" si="2"/>
        <v>42</v>
      </c>
      <c r="C49" s="9"/>
      <c r="D49" s="9"/>
      <c r="E49" s="9"/>
      <c r="F49" s="54" t="s">
        <v>319</v>
      </c>
      <c r="G49" s="126">
        <v>633</v>
      </c>
      <c r="H49" s="9" t="s">
        <v>305</v>
      </c>
      <c r="I49" s="10">
        <v>4500</v>
      </c>
      <c r="J49" s="10">
        <v>0</v>
      </c>
      <c r="K49" s="10">
        <v>2800</v>
      </c>
      <c r="L49" s="10">
        <v>0</v>
      </c>
      <c r="M49" s="10">
        <v>0</v>
      </c>
      <c r="N49" s="10"/>
      <c r="O49" s="10"/>
      <c r="P49" s="10"/>
      <c r="Q49" s="10"/>
      <c r="R49" s="10"/>
      <c r="T49" s="10">
        <f t="shared" si="1"/>
        <v>4500</v>
      </c>
    </row>
    <row r="50" spans="2:20" x14ac:dyDescent="0.25">
      <c r="B50" s="97">
        <f t="shared" si="2"/>
        <v>43</v>
      </c>
      <c r="C50" s="9"/>
      <c r="D50" s="9"/>
      <c r="E50" s="9"/>
      <c r="F50" s="54" t="s">
        <v>319</v>
      </c>
      <c r="G50" s="126">
        <v>635</v>
      </c>
      <c r="H50" s="9" t="s">
        <v>320</v>
      </c>
      <c r="I50" s="10">
        <v>2000</v>
      </c>
      <c r="J50" s="10">
        <v>4000</v>
      </c>
      <c r="K50" s="10">
        <v>1850</v>
      </c>
      <c r="L50" s="10">
        <v>1770</v>
      </c>
      <c r="M50" s="10">
        <v>1926.6</v>
      </c>
      <c r="N50" s="10"/>
      <c r="O50" s="10"/>
      <c r="P50" s="10"/>
      <c r="Q50" s="10"/>
      <c r="R50" s="10"/>
      <c r="T50" s="10">
        <f t="shared" si="1"/>
        <v>2000</v>
      </c>
    </row>
    <row r="51" spans="2:20" x14ac:dyDescent="0.25">
      <c r="B51" s="97">
        <f t="shared" si="2"/>
        <v>44</v>
      </c>
      <c r="C51" s="9"/>
      <c r="D51" s="9"/>
      <c r="E51" s="9"/>
      <c r="F51" s="54" t="s">
        <v>319</v>
      </c>
      <c r="G51" s="126">
        <v>636</v>
      </c>
      <c r="H51" s="9" t="s">
        <v>307</v>
      </c>
      <c r="I51" s="10">
        <v>500</v>
      </c>
      <c r="J51" s="10">
        <v>0</v>
      </c>
      <c r="K51" s="10">
        <v>0</v>
      </c>
      <c r="L51" s="10">
        <v>0</v>
      </c>
      <c r="M51" s="10">
        <v>660</v>
      </c>
      <c r="N51" s="10"/>
      <c r="O51" s="10"/>
      <c r="P51" s="10"/>
      <c r="Q51" s="10"/>
      <c r="R51" s="10"/>
      <c r="T51" s="10">
        <f t="shared" si="1"/>
        <v>500</v>
      </c>
    </row>
    <row r="52" spans="2:20" x14ac:dyDescent="0.25">
      <c r="B52" s="97">
        <f t="shared" si="2"/>
        <v>45</v>
      </c>
      <c r="C52" s="9"/>
      <c r="D52" s="9"/>
      <c r="E52" s="9"/>
      <c r="F52" s="54" t="s">
        <v>319</v>
      </c>
      <c r="G52" s="126">
        <v>637</v>
      </c>
      <c r="H52" s="9" t="s">
        <v>308</v>
      </c>
      <c r="I52" s="10">
        <f>132700+12000</f>
        <v>144700</v>
      </c>
      <c r="J52" s="10">
        <v>136000</v>
      </c>
      <c r="K52" s="10">
        <v>135350</v>
      </c>
      <c r="L52" s="10">
        <v>28038</v>
      </c>
      <c r="M52" s="10">
        <f>10233+611+9000+6960+6190+300</f>
        <v>33294</v>
      </c>
      <c r="N52" s="10"/>
      <c r="O52" s="10"/>
      <c r="P52" s="10"/>
      <c r="Q52" s="10"/>
      <c r="R52" s="10"/>
      <c r="T52" s="10">
        <f t="shared" si="1"/>
        <v>144700</v>
      </c>
    </row>
    <row r="53" spans="2:20" x14ac:dyDescent="0.25">
      <c r="B53" s="97">
        <f t="shared" si="2"/>
        <v>46</v>
      </c>
      <c r="C53" s="29"/>
      <c r="D53" s="29"/>
      <c r="E53" s="29"/>
      <c r="F53" s="53" t="s">
        <v>319</v>
      </c>
      <c r="G53" s="125">
        <v>710</v>
      </c>
      <c r="H53" s="29" t="s">
        <v>321</v>
      </c>
      <c r="I53" s="15"/>
      <c r="J53" s="15"/>
      <c r="K53" s="15"/>
      <c r="L53" s="15"/>
      <c r="M53" s="15"/>
      <c r="N53" s="15">
        <f>N54+N57</f>
        <v>125000</v>
      </c>
      <c r="O53" s="15">
        <f t="shared" ref="O53:R53" si="20">O57+O54</f>
        <v>45000</v>
      </c>
      <c r="P53" s="15">
        <f t="shared" si="20"/>
        <v>35000</v>
      </c>
      <c r="Q53" s="15">
        <f t="shared" si="20"/>
        <v>12000</v>
      </c>
      <c r="R53" s="15">
        <f t="shared" si="20"/>
        <v>91791.5</v>
      </c>
      <c r="T53" s="15">
        <f t="shared" si="1"/>
        <v>125000</v>
      </c>
    </row>
    <row r="54" spans="2:20" x14ac:dyDescent="0.25">
      <c r="B54" s="97">
        <f t="shared" si="2"/>
        <v>47</v>
      </c>
      <c r="C54" s="9"/>
      <c r="D54" s="9"/>
      <c r="E54" s="9"/>
      <c r="F54" s="54" t="s">
        <v>319</v>
      </c>
      <c r="G54" s="126">
        <v>711</v>
      </c>
      <c r="H54" s="9" t="s">
        <v>322</v>
      </c>
      <c r="I54" s="10"/>
      <c r="J54" s="10"/>
      <c r="K54" s="10"/>
      <c r="L54" s="10"/>
      <c r="M54" s="10"/>
      <c r="N54" s="10">
        <f>N55+N56</f>
        <v>50000</v>
      </c>
      <c r="O54" s="10">
        <f t="shared" ref="O54:R54" si="21">O55</f>
        <v>25000</v>
      </c>
      <c r="P54" s="10">
        <f t="shared" si="21"/>
        <v>15000</v>
      </c>
      <c r="Q54" s="10">
        <f t="shared" si="21"/>
        <v>12000</v>
      </c>
      <c r="R54" s="10">
        <f t="shared" si="21"/>
        <v>14400</v>
      </c>
      <c r="T54" s="10">
        <f t="shared" si="1"/>
        <v>50000</v>
      </c>
    </row>
    <row r="55" spans="2:20" x14ac:dyDescent="0.25">
      <c r="B55" s="97">
        <f t="shared" si="2"/>
        <v>48</v>
      </c>
      <c r="C55" s="12"/>
      <c r="D55" s="12"/>
      <c r="E55" s="12"/>
      <c r="F55" s="12"/>
      <c r="G55" s="127" t="s">
        <v>60</v>
      </c>
      <c r="H55" s="12" t="s">
        <v>690</v>
      </c>
      <c r="I55" s="13"/>
      <c r="J55" s="13"/>
      <c r="K55" s="13"/>
      <c r="L55" s="13"/>
      <c r="M55" s="13"/>
      <c r="N55" s="13">
        <v>25000</v>
      </c>
      <c r="O55" s="13">
        <v>25000</v>
      </c>
      <c r="P55" s="13">
        <v>15000</v>
      </c>
      <c r="Q55" s="13">
        <v>12000</v>
      </c>
      <c r="R55" s="13">
        <v>14400</v>
      </c>
      <c r="T55" s="13">
        <f t="shared" si="1"/>
        <v>25000</v>
      </c>
    </row>
    <row r="56" spans="2:20" x14ac:dyDescent="0.25">
      <c r="B56" s="97">
        <f t="shared" si="2"/>
        <v>49</v>
      </c>
      <c r="C56" s="12"/>
      <c r="D56" s="12"/>
      <c r="E56" s="12"/>
      <c r="F56" s="12"/>
      <c r="G56" s="127"/>
      <c r="H56" s="12" t="s">
        <v>804</v>
      </c>
      <c r="I56" s="13"/>
      <c r="J56" s="13"/>
      <c r="K56" s="13"/>
      <c r="L56" s="13"/>
      <c r="M56" s="13"/>
      <c r="N56" s="13">
        <v>25000</v>
      </c>
      <c r="O56" s="13"/>
      <c r="P56" s="13"/>
      <c r="Q56" s="13"/>
      <c r="R56" s="13"/>
      <c r="T56" s="13">
        <f t="shared" si="1"/>
        <v>25000</v>
      </c>
    </row>
    <row r="57" spans="2:20" x14ac:dyDescent="0.25">
      <c r="B57" s="97">
        <f t="shared" si="2"/>
        <v>50</v>
      </c>
      <c r="C57" s="9"/>
      <c r="D57" s="9"/>
      <c r="E57" s="9"/>
      <c r="F57" s="54" t="s">
        <v>319</v>
      </c>
      <c r="G57" s="126">
        <v>716</v>
      </c>
      <c r="H57" s="9" t="s">
        <v>323</v>
      </c>
      <c r="I57" s="10"/>
      <c r="J57" s="10"/>
      <c r="K57" s="10"/>
      <c r="L57" s="10"/>
      <c r="M57" s="10"/>
      <c r="N57" s="10">
        <f>N58</f>
        <v>75000</v>
      </c>
      <c r="O57" s="10">
        <f t="shared" ref="O57:R57" si="22">O59+O58</f>
        <v>20000</v>
      </c>
      <c r="P57" s="10">
        <f t="shared" si="22"/>
        <v>20000</v>
      </c>
      <c r="Q57" s="10"/>
      <c r="R57" s="10">
        <f t="shared" si="22"/>
        <v>77391.5</v>
      </c>
      <c r="T57" s="10">
        <f t="shared" si="1"/>
        <v>75000</v>
      </c>
    </row>
    <row r="58" spans="2:20" x14ac:dyDescent="0.25">
      <c r="B58" s="97">
        <f t="shared" si="2"/>
        <v>51</v>
      </c>
      <c r="C58" s="12"/>
      <c r="D58" s="12"/>
      <c r="E58" s="12"/>
      <c r="F58" s="12"/>
      <c r="G58" s="127" t="s">
        <v>60</v>
      </c>
      <c r="H58" s="12" t="s">
        <v>324</v>
      </c>
      <c r="I58" s="13"/>
      <c r="J58" s="13"/>
      <c r="K58" s="13"/>
      <c r="L58" s="13"/>
      <c r="M58" s="13"/>
      <c r="N58" s="13">
        <v>75000</v>
      </c>
      <c r="O58" s="13">
        <v>10000</v>
      </c>
      <c r="P58" s="13">
        <v>10000</v>
      </c>
      <c r="Q58" s="13"/>
      <c r="R58" s="13">
        <v>77391.5</v>
      </c>
      <c r="T58" s="13">
        <f t="shared" si="1"/>
        <v>75000</v>
      </c>
    </row>
    <row r="59" spans="2:20" x14ac:dyDescent="0.25">
      <c r="B59" s="97">
        <f t="shared" si="2"/>
        <v>52</v>
      </c>
      <c r="C59" s="12"/>
      <c r="D59" s="12"/>
      <c r="E59" s="12"/>
      <c r="F59" s="12"/>
      <c r="G59" s="127"/>
      <c r="H59" s="12" t="s">
        <v>325</v>
      </c>
      <c r="I59" s="13"/>
      <c r="J59" s="13"/>
      <c r="K59" s="13"/>
      <c r="L59" s="13"/>
      <c r="M59" s="13"/>
      <c r="N59" s="13">
        <v>0</v>
      </c>
      <c r="O59" s="13">
        <v>10000</v>
      </c>
      <c r="P59" s="13">
        <v>10000</v>
      </c>
      <c r="Q59" s="13"/>
      <c r="R59" s="13"/>
      <c r="T59" s="13">
        <f t="shared" si="1"/>
        <v>0</v>
      </c>
    </row>
    <row r="60" spans="2:20" ht="15.75" x14ac:dyDescent="0.25">
      <c r="B60" s="97">
        <f t="shared" si="2"/>
        <v>53</v>
      </c>
      <c r="C60" s="45">
        <v>3</v>
      </c>
      <c r="D60" s="293" t="s">
        <v>326</v>
      </c>
      <c r="E60" s="294"/>
      <c r="F60" s="294"/>
      <c r="G60" s="294"/>
      <c r="H60" s="295"/>
      <c r="I60" s="46">
        <f>I64+I65+I70</f>
        <v>45000</v>
      </c>
      <c r="J60" s="46">
        <f t="shared" ref="J60:M62" si="23">J61</f>
        <v>59500</v>
      </c>
      <c r="K60" s="46">
        <f t="shared" si="23"/>
        <v>41750</v>
      </c>
      <c r="L60" s="46">
        <f t="shared" si="23"/>
        <v>37183.590000000004</v>
      </c>
      <c r="M60" s="46">
        <f>M61</f>
        <v>79752</v>
      </c>
      <c r="N60" s="46">
        <f>N71</f>
        <v>300000</v>
      </c>
      <c r="O60" s="46">
        <f t="shared" ref="O60:R62" si="24">O61</f>
        <v>653000</v>
      </c>
      <c r="P60" s="46">
        <f t="shared" si="24"/>
        <v>57470</v>
      </c>
      <c r="Q60" s="46">
        <f t="shared" si="24"/>
        <v>4452</v>
      </c>
      <c r="R60" s="46">
        <f t="shared" si="24"/>
        <v>9921</v>
      </c>
      <c r="T60" s="46">
        <f t="shared" si="1"/>
        <v>345000</v>
      </c>
    </row>
    <row r="61" spans="2:20" hidden="1" x14ac:dyDescent="0.25">
      <c r="B61" s="97">
        <f t="shared" si="2"/>
        <v>54</v>
      </c>
      <c r="C61" s="47"/>
      <c r="D61" s="47" t="s">
        <v>60</v>
      </c>
      <c r="E61" s="296"/>
      <c r="F61" s="294"/>
      <c r="G61" s="294"/>
      <c r="H61" s="295"/>
      <c r="I61" s="48"/>
      <c r="J61" s="48">
        <f t="shared" si="23"/>
        <v>59500</v>
      </c>
      <c r="K61" s="48">
        <f t="shared" si="23"/>
        <v>41750</v>
      </c>
      <c r="L61" s="48">
        <f t="shared" si="23"/>
        <v>37183.590000000004</v>
      </c>
      <c r="M61" s="48">
        <f t="shared" si="23"/>
        <v>79752</v>
      </c>
      <c r="N61" s="48" t="e">
        <f>#REF!+#REF!</f>
        <v>#REF!</v>
      </c>
      <c r="O61" s="48">
        <f t="shared" si="24"/>
        <v>653000</v>
      </c>
      <c r="P61" s="48">
        <f t="shared" si="24"/>
        <v>57470</v>
      </c>
      <c r="Q61" s="48">
        <f t="shared" si="24"/>
        <v>4452</v>
      </c>
      <c r="R61" s="48">
        <f t="shared" si="24"/>
        <v>9921</v>
      </c>
      <c r="T61" s="48" t="e">
        <f t="shared" si="1"/>
        <v>#REF!</v>
      </c>
    </row>
    <row r="62" spans="2:20" hidden="1" x14ac:dyDescent="0.25">
      <c r="B62" s="97">
        <f t="shared" si="2"/>
        <v>55</v>
      </c>
      <c r="C62" s="49"/>
      <c r="D62" s="49"/>
      <c r="E62" s="49"/>
      <c r="F62" s="49"/>
      <c r="G62" s="123"/>
      <c r="H62" s="49" t="s">
        <v>12</v>
      </c>
      <c r="I62" s="50"/>
      <c r="J62" s="50">
        <f t="shared" si="23"/>
        <v>59500</v>
      </c>
      <c r="K62" s="50">
        <f t="shared" si="23"/>
        <v>41750</v>
      </c>
      <c r="L62" s="50">
        <f t="shared" si="23"/>
        <v>37183.590000000004</v>
      </c>
      <c r="M62" s="50">
        <f t="shared" si="23"/>
        <v>79752</v>
      </c>
      <c r="N62" s="50" t="e">
        <f>#REF!+#REF!</f>
        <v>#REF!</v>
      </c>
      <c r="O62" s="50">
        <f t="shared" si="24"/>
        <v>653000</v>
      </c>
      <c r="P62" s="50">
        <f t="shared" si="24"/>
        <v>57470</v>
      </c>
      <c r="Q62" s="50">
        <f t="shared" si="24"/>
        <v>4452</v>
      </c>
      <c r="R62" s="50">
        <f t="shared" si="24"/>
        <v>9921</v>
      </c>
      <c r="T62" s="50" t="e">
        <f t="shared" si="1"/>
        <v>#REF!</v>
      </c>
    </row>
    <row r="63" spans="2:20" hidden="1" x14ac:dyDescent="0.25">
      <c r="B63" s="97">
        <f t="shared" si="2"/>
        <v>56</v>
      </c>
      <c r="C63" s="51"/>
      <c r="D63" s="51"/>
      <c r="E63" s="51" t="s">
        <v>60</v>
      </c>
      <c r="F63" s="51"/>
      <c r="G63" s="124"/>
      <c r="H63" s="51"/>
      <c r="I63" s="52"/>
      <c r="J63" s="52">
        <f>J71+J70+J65+J64</f>
        <v>59500</v>
      </c>
      <c r="K63" s="52">
        <f>K71+K70+K65+K64</f>
        <v>41750</v>
      </c>
      <c r="L63" s="52">
        <f>L71+L70+L65+L64</f>
        <v>37183.590000000004</v>
      </c>
      <c r="M63" s="52">
        <f>M71+M70+M65+M64</f>
        <v>79752</v>
      </c>
      <c r="N63" s="52" t="e">
        <f>#REF!+#REF!</f>
        <v>#REF!</v>
      </c>
      <c r="O63" s="52">
        <f>O71+O70+O65+O64</f>
        <v>653000</v>
      </c>
      <c r="P63" s="52">
        <f>P71+P70+P65+P64</f>
        <v>57470</v>
      </c>
      <c r="Q63" s="52">
        <f>Q71+Q70+Q65+Q64</f>
        <v>4452</v>
      </c>
      <c r="R63" s="52">
        <f>R71+R70+R65+R64</f>
        <v>9921</v>
      </c>
      <c r="T63" s="52" t="e">
        <f t="shared" si="1"/>
        <v>#REF!</v>
      </c>
    </row>
    <row r="64" spans="2:20" x14ac:dyDescent="0.25">
      <c r="B64" s="97">
        <f t="shared" si="2"/>
        <v>57</v>
      </c>
      <c r="C64" s="29"/>
      <c r="D64" s="29"/>
      <c r="E64" s="29"/>
      <c r="F64" s="53" t="s">
        <v>302</v>
      </c>
      <c r="G64" s="125">
        <v>620</v>
      </c>
      <c r="H64" s="29" t="s">
        <v>313</v>
      </c>
      <c r="I64" s="15">
        <v>0</v>
      </c>
      <c r="J64" s="15">
        <v>0</v>
      </c>
      <c r="K64" s="15">
        <v>5500</v>
      </c>
      <c r="L64" s="15">
        <f>1461+465</f>
        <v>1926</v>
      </c>
      <c r="M64" s="15">
        <v>10638</v>
      </c>
      <c r="N64" s="15"/>
      <c r="O64" s="15"/>
      <c r="P64" s="15"/>
      <c r="Q64" s="15"/>
      <c r="R64" s="15"/>
      <c r="T64" s="15">
        <f t="shared" si="1"/>
        <v>0</v>
      </c>
    </row>
    <row r="65" spans="2:20" x14ac:dyDescent="0.25">
      <c r="B65" s="97">
        <f t="shared" si="2"/>
        <v>58</v>
      </c>
      <c r="C65" s="29"/>
      <c r="D65" s="29"/>
      <c r="E65" s="29"/>
      <c r="F65" s="53" t="s">
        <v>302</v>
      </c>
      <c r="G65" s="125">
        <v>630</v>
      </c>
      <c r="H65" s="29" t="s">
        <v>303</v>
      </c>
      <c r="I65" s="15">
        <f>SUM(I66:I69)</f>
        <v>45000</v>
      </c>
      <c r="J65" s="15">
        <f t="shared" ref="J65:M65" si="25">J69+J68+J67+J66</f>
        <v>59500</v>
      </c>
      <c r="K65" s="15">
        <f t="shared" si="25"/>
        <v>36250</v>
      </c>
      <c r="L65" s="15">
        <f t="shared" si="25"/>
        <v>35257.590000000004</v>
      </c>
      <c r="M65" s="15">
        <f t="shared" si="25"/>
        <v>52553</v>
      </c>
      <c r="N65" s="15"/>
      <c r="O65" s="15"/>
      <c r="P65" s="15"/>
      <c r="Q65" s="15"/>
      <c r="R65" s="15"/>
      <c r="T65" s="15">
        <f t="shared" si="1"/>
        <v>45000</v>
      </c>
    </row>
    <row r="66" spans="2:20" x14ac:dyDescent="0.25">
      <c r="B66" s="97">
        <f t="shared" si="2"/>
        <v>59</v>
      </c>
      <c r="C66" s="9"/>
      <c r="D66" s="9"/>
      <c r="E66" s="9"/>
      <c r="F66" s="54" t="s">
        <v>302</v>
      </c>
      <c r="G66" s="126">
        <v>631</v>
      </c>
      <c r="H66" s="9" t="s">
        <v>304</v>
      </c>
      <c r="I66" s="10">
        <v>0</v>
      </c>
      <c r="J66" s="10">
        <v>1000</v>
      </c>
      <c r="K66" s="10">
        <v>1000</v>
      </c>
      <c r="L66" s="10">
        <v>792.71</v>
      </c>
      <c r="M66" s="10">
        <v>209</v>
      </c>
      <c r="N66" s="10"/>
      <c r="O66" s="10"/>
      <c r="P66" s="10"/>
      <c r="Q66" s="10"/>
      <c r="R66" s="10"/>
      <c r="T66" s="10">
        <f t="shared" si="1"/>
        <v>0</v>
      </c>
    </row>
    <row r="67" spans="2:20" x14ac:dyDescent="0.25">
      <c r="B67" s="97">
        <f t="shared" si="2"/>
        <v>60</v>
      </c>
      <c r="C67" s="9"/>
      <c r="D67" s="9"/>
      <c r="E67" s="9"/>
      <c r="F67" s="54" t="s">
        <v>302</v>
      </c>
      <c r="G67" s="126">
        <v>633</v>
      </c>
      <c r="H67" s="9" t="s">
        <v>305</v>
      </c>
      <c r="I67" s="10">
        <v>0</v>
      </c>
      <c r="J67" s="10">
        <v>1500</v>
      </c>
      <c r="K67" s="10">
        <v>1500</v>
      </c>
      <c r="L67" s="10">
        <v>229.97</v>
      </c>
      <c r="M67" s="10">
        <v>500</v>
      </c>
      <c r="N67" s="10"/>
      <c r="O67" s="10"/>
      <c r="P67" s="10"/>
      <c r="Q67" s="10"/>
      <c r="R67" s="10"/>
      <c r="T67" s="10">
        <f t="shared" si="1"/>
        <v>0</v>
      </c>
    </row>
    <row r="68" spans="2:20" x14ac:dyDescent="0.25">
      <c r="B68" s="97">
        <f t="shared" si="2"/>
        <v>61</v>
      </c>
      <c r="C68" s="9"/>
      <c r="D68" s="9"/>
      <c r="E68" s="9"/>
      <c r="F68" s="54" t="s">
        <v>302</v>
      </c>
      <c r="G68" s="126">
        <v>636</v>
      </c>
      <c r="H68" s="9" t="s">
        <v>307</v>
      </c>
      <c r="I68" s="10">
        <v>0</v>
      </c>
      <c r="J68" s="10">
        <v>500</v>
      </c>
      <c r="K68" s="10">
        <v>500</v>
      </c>
      <c r="L68" s="10"/>
      <c r="M68" s="10">
        <v>800</v>
      </c>
      <c r="N68" s="10"/>
      <c r="O68" s="10"/>
      <c r="P68" s="10"/>
      <c r="Q68" s="10"/>
      <c r="R68" s="10"/>
      <c r="T68" s="10">
        <f t="shared" si="1"/>
        <v>0</v>
      </c>
    </row>
    <row r="69" spans="2:20" x14ac:dyDescent="0.25">
      <c r="B69" s="97">
        <f t="shared" si="2"/>
        <v>62</v>
      </c>
      <c r="C69" s="9"/>
      <c r="D69" s="9"/>
      <c r="E69" s="9"/>
      <c r="F69" s="54" t="s">
        <v>302</v>
      </c>
      <c r="G69" s="126">
        <v>637</v>
      </c>
      <c r="H69" s="9" t="s">
        <v>308</v>
      </c>
      <c r="I69" s="10">
        <v>45000</v>
      </c>
      <c r="J69" s="10">
        <v>56500</v>
      </c>
      <c r="K69" s="10">
        <f>13250+20000</f>
        <v>33250</v>
      </c>
      <c r="L69" s="10">
        <v>34234.910000000003</v>
      </c>
      <c r="M69" s="10">
        <v>51044</v>
      </c>
      <c r="N69" s="10"/>
      <c r="O69" s="10"/>
      <c r="P69" s="10"/>
      <c r="Q69" s="10"/>
      <c r="R69" s="10"/>
      <c r="T69" s="10">
        <f t="shared" si="1"/>
        <v>45000</v>
      </c>
    </row>
    <row r="70" spans="2:20" x14ac:dyDescent="0.25">
      <c r="B70" s="97">
        <f t="shared" si="2"/>
        <v>63</v>
      </c>
      <c r="C70" s="29"/>
      <c r="D70" s="29"/>
      <c r="E70" s="29"/>
      <c r="F70" s="53" t="s">
        <v>302</v>
      </c>
      <c r="G70" s="125">
        <v>640</v>
      </c>
      <c r="H70" s="29" t="s">
        <v>315</v>
      </c>
      <c r="I70" s="15">
        <v>0</v>
      </c>
      <c r="J70" s="15">
        <v>0</v>
      </c>
      <c r="K70" s="15">
        <v>0</v>
      </c>
      <c r="L70" s="15">
        <v>0</v>
      </c>
      <c r="M70" s="15">
        <v>16561</v>
      </c>
      <c r="N70" s="15"/>
      <c r="O70" s="15"/>
      <c r="P70" s="15"/>
      <c r="Q70" s="15"/>
      <c r="R70" s="15"/>
      <c r="T70" s="15">
        <f t="shared" si="1"/>
        <v>0</v>
      </c>
    </row>
    <row r="71" spans="2:20" x14ac:dyDescent="0.25">
      <c r="B71" s="97">
        <f t="shared" si="2"/>
        <v>64</v>
      </c>
      <c r="C71" s="29"/>
      <c r="D71" s="29"/>
      <c r="E71" s="29"/>
      <c r="F71" s="53" t="s">
        <v>302</v>
      </c>
      <c r="G71" s="125">
        <v>710</v>
      </c>
      <c r="H71" s="29" t="s">
        <v>321</v>
      </c>
      <c r="I71" s="15"/>
      <c r="J71" s="15"/>
      <c r="K71" s="15"/>
      <c r="L71" s="15"/>
      <c r="M71" s="15"/>
      <c r="N71" s="15">
        <f>+N72+N74</f>
        <v>300000</v>
      </c>
      <c r="O71" s="15">
        <f t="shared" ref="O71:R71" si="26">O74+O72</f>
        <v>653000</v>
      </c>
      <c r="P71" s="15">
        <f t="shared" si="26"/>
        <v>57470</v>
      </c>
      <c r="Q71" s="15">
        <f t="shared" si="26"/>
        <v>4452</v>
      </c>
      <c r="R71" s="15">
        <f t="shared" si="26"/>
        <v>9921</v>
      </c>
      <c r="T71" s="15">
        <f t="shared" si="1"/>
        <v>300000</v>
      </c>
    </row>
    <row r="72" spans="2:20" x14ac:dyDescent="0.25">
      <c r="B72" s="97">
        <f t="shared" si="2"/>
        <v>65</v>
      </c>
      <c r="C72" s="9"/>
      <c r="D72" s="9"/>
      <c r="E72" s="9"/>
      <c r="F72" s="54" t="s">
        <v>302</v>
      </c>
      <c r="G72" s="126">
        <v>716</v>
      </c>
      <c r="H72" s="9" t="s">
        <v>323</v>
      </c>
      <c r="I72" s="10"/>
      <c r="J72" s="10"/>
      <c r="K72" s="10"/>
      <c r="L72" s="10"/>
      <c r="M72" s="10"/>
      <c r="N72" s="10">
        <f>N73</f>
        <v>100000</v>
      </c>
      <c r="O72" s="10">
        <f t="shared" ref="O72:R72" si="27">O73</f>
        <v>48000</v>
      </c>
      <c r="P72" s="10">
        <f t="shared" si="27"/>
        <v>28220</v>
      </c>
      <c r="Q72" s="10"/>
      <c r="R72" s="10">
        <f t="shared" si="27"/>
        <v>1550</v>
      </c>
      <c r="T72" s="10">
        <f t="shared" si="1"/>
        <v>100000</v>
      </c>
    </row>
    <row r="73" spans="2:20" x14ac:dyDescent="0.25">
      <c r="B73" s="97">
        <f t="shared" si="2"/>
        <v>66</v>
      </c>
      <c r="C73" s="12"/>
      <c r="D73" s="12"/>
      <c r="E73" s="12"/>
      <c r="F73" s="12"/>
      <c r="G73" s="127" t="s">
        <v>60</v>
      </c>
      <c r="H73" s="12" t="s">
        <v>694</v>
      </c>
      <c r="I73" s="13"/>
      <c r="J73" s="13"/>
      <c r="K73" s="13"/>
      <c r="L73" s="13"/>
      <c r="M73" s="13"/>
      <c r="N73" s="13">
        <v>100000</v>
      </c>
      <c r="O73" s="13">
        <v>48000</v>
      </c>
      <c r="P73" s="13">
        <v>28220</v>
      </c>
      <c r="Q73" s="13"/>
      <c r="R73" s="13">
        <v>1550</v>
      </c>
      <c r="T73" s="13">
        <f t="shared" ref="T73:T113" si="28">I73+N73</f>
        <v>100000</v>
      </c>
    </row>
    <row r="74" spans="2:20" x14ac:dyDescent="0.25">
      <c r="B74" s="97">
        <f t="shared" si="2"/>
        <v>67</v>
      </c>
      <c r="C74" s="9"/>
      <c r="D74" s="9"/>
      <c r="E74" s="9"/>
      <c r="F74" s="54" t="s">
        <v>302</v>
      </c>
      <c r="G74" s="126">
        <v>717</v>
      </c>
      <c r="H74" s="9" t="s">
        <v>327</v>
      </c>
      <c r="I74" s="10"/>
      <c r="J74" s="10"/>
      <c r="K74" s="10"/>
      <c r="L74" s="10"/>
      <c r="M74" s="10"/>
      <c r="N74" s="10">
        <f>SUM(N75:N80)</f>
        <v>200000</v>
      </c>
      <c r="O74" s="10">
        <f t="shared" ref="O74:R74" si="29">O80+O79+O78+O77+O76+O75</f>
        <v>605000</v>
      </c>
      <c r="P74" s="10">
        <f t="shared" si="29"/>
        <v>29250</v>
      </c>
      <c r="Q74" s="10">
        <f t="shared" si="29"/>
        <v>4452</v>
      </c>
      <c r="R74" s="10">
        <f t="shared" si="29"/>
        <v>8371</v>
      </c>
      <c r="T74" s="10">
        <f t="shared" si="28"/>
        <v>200000</v>
      </c>
    </row>
    <row r="75" spans="2:20" x14ac:dyDescent="0.25">
      <c r="B75" s="97">
        <f t="shared" ref="B75:B90" si="30">B74+1</f>
        <v>68</v>
      </c>
      <c r="C75" s="12"/>
      <c r="D75" s="12"/>
      <c r="E75" s="12"/>
      <c r="F75" s="12"/>
      <c r="G75" s="127"/>
      <c r="H75" s="12" t="s">
        <v>328</v>
      </c>
      <c r="I75" s="13"/>
      <c r="J75" s="13"/>
      <c r="K75" s="13"/>
      <c r="L75" s="13"/>
      <c r="M75" s="13"/>
      <c r="N75" s="13"/>
      <c r="O75" s="13">
        <v>55000</v>
      </c>
      <c r="P75" s="13"/>
      <c r="Q75" s="13"/>
      <c r="R75" s="13">
        <v>8371</v>
      </c>
      <c r="T75" s="13">
        <f t="shared" si="28"/>
        <v>0</v>
      </c>
    </row>
    <row r="76" spans="2:20" x14ac:dyDescent="0.25">
      <c r="B76" s="97">
        <f t="shared" si="30"/>
        <v>69</v>
      </c>
      <c r="C76" s="12"/>
      <c r="D76" s="12"/>
      <c r="E76" s="12"/>
      <c r="F76" s="12"/>
      <c r="G76" s="127"/>
      <c r="H76" s="12" t="s">
        <v>329</v>
      </c>
      <c r="I76" s="13"/>
      <c r="J76" s="13"/>
      <c r="K76" s="13"/>
      <c r="L76" s="13"/>
      <c r="M76" s="13"/>
      <c r="N76" s="13">
        <v>200000</v>
      </c>
      <c r="O76" s="13">
        <v>150000</v>
      </c>
      <c r="P76" s="13">
        <f>90850-63000</f>
        <v>27850</v>
      </c>
      <c r="Q76" s="13">
        <v>4452</v>
      </c>
      <c r="R76" s="13"/>
      <c r="T76" s="13">
        <f t="shared" si="28"/>
        <v>200000</v>
      </c>
    </row>
    <row r="77" spans="2:20" x14ac:dyDescent="0.25">
      <c r="B77" s="97">
        <f t="shared" si="30"/>
        <v>70</v>
      </c>
      <c r="C77" s="12"/>
      <c r="D77" s="12"/>
      <c r="E77" s="12"/>
      <c r="F77" s="12"/>
      <c r="G77" s="127"/>
      <c r="H77" s="12" t="s">
        <v>330</v>
      </c>
      <c r="I77" s="13"/>
      <c r="J77" s="13"/>
      <c r="K77" s="13"/>
      <c r="L77" s="13"/>
      <c r="M77" s="13"/>
      <c r="N77" s="13"/>
      <c r="O77" s="13">
        <v>100000</v>
      </c>
      <c r="P77" s="13"/>
      <c r="Q77" s="13"/>
      <c r="R77" s="13"/>
      <c r="T77" s="13">
        <f t="shared" si="28"/>
        <v>0</v>
      </c>
    </row>
    <row r="78" spans="2:20" x14ac:dyDescent="0.25">
      <c r="B78" s="97">
        <f t="shared" si="30"/>
        <v>71</v>
      </c>
      <c r="C78" s="12"/>
      <c r="D78" s="12"/>
      <c r="E78" s="12"/>
      <c r="F78" s="12"/>
      <c r="G78" s="127"/>
      <c r="H78" s="12" t="s">
        <v>331</v>
      </c>
      <c r="I78" s="13"/>
      <c r="J78" s="13"/>
      <c r="K78" s="13"/>
      <c r="L78" s="13"/>
      <c r="M78" s="13"/>
      <c r="N78" s="13"/>
      <c r="O78" s="13">
        <v>100000</v>
      </c>
      <c r="P78" s="13">
        <v>1400</v>
      </c>
      <c r="Q78" s="13"/>
      <c r="R78" s="13"/>
      <c r="T78" s="13">
        <f t="shared" si="28"/>
        <v>0</v>
      </c>
    </row>
    <row r="79" spans="2:20" x14ac:dyDescent="0.25">
      <c r="B79" s="97">
        <f t="shared" si="30"/>
        <v>72</v>
      </c>
      <c r="C79" s="12"/>
      <c r="D79" s="12"/>
      <c r="E79" s="12"/>
      <c r="F79" s="12"/>
      <c r="G79" s="127"/>
      <c r="H79" s="12" t="s">
        <v>332</v>
      </c>
      <c r="I79" s="13"/>
      <c r="J79" s="13"/>
      <c r="K79" s="13"/>
      <c r="L79" s="13"/>
      <c r="M79" s="13"/>
      <c r="N79" s="13"/>
      <c r="O79" s="13">
        <v>100000</v>
      </c>
      <c r="P79" s="13"/>
      <c r="Q79" s="13"/>
      <c r="R79" s="13"/>
      <c r="T79" s="13">
        <f t="shared" si="28"/>
        <v>0</v>
      </c>
    </row>
    <row r="80" spans="2:20" x14ac:dyDescent="0.25">
      <c r="B80" s="97">
        <f t="shared" si="30"/>
        <v>73</v>
      </c>
      <c r="C80" s="12"/>
      <c r="D80" s="12"/>
      <c r="E80" s="12"/>
      <c r="F80" s="12"/>
      <c r="G80" s="127"/>
      <c r="H80" s="12" t="s">
        <v>333</v>
      </c>
      <c r="I80" s="13"/>
      <c r="J80" s="13"/>
      <c r="K80" s="13"/>
      <c r="L80" s="13"/>
      <c r="M80" s="13"/>
      <c r="N80" s="13"/>
      <c r="O80" s="13">
        <v>100000</v>
      </c>
      <c r="P80" s="13"/>
      <c r="Q80" s="13"/>
      <c r="R80" s="13"/>
      <c r="T80" s="13">
        <f t="shared" si="28"/>
        <v>0</v>
      </c>
    </row>
    <row r="81" spans="2:20" ht="15.75" x14ac:dyDescent="0.25">
      <c r="B81" s="97">
        <f t="shared" si="30"/>
        <v>74</v>
      </c>
      <c r="C81" s="45">
        <v>4</v>
      </c>
      <c r="D81" s="293" t="s">
        <v>915</v>
      </c>
      <c r="E81" s="294"/>
      <c r="F81" s="294"/>
      <c r="G81" s="294"/>
      <c r="H81" s="295"/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ref="O81:R81" si="31">O82</f>
        <v>0</v>
      </c>
      <c r="P81" s="46">
        <f t="shared" si="31"/>
        <v>0</v>
      </c>
      <c r="Q81" s="46">
        <f t="shared" si="31"/>
        <v>0</v>
      </c>
      <c r="R81" s="46">
        <f t="shared" si="31"/>
        <v>0</v>
      </c>
      <c r="T81" s="46">
        <f t="shared" ref="T81:T83" si="32">I81+N81</f>
        <v>0</v>
      </c>
    </row>
    <row r="82" spans="2:20" ht="15.75" x14ac:dyDescent="0.25">
      <c r="B82" s="97">
        <f t="shared" si="30"/>
        <v>75</v>
      </c>
      <c r="C82" s="45">
        <v>5</v>
      </c>
      <c r="D82" s="293" t="s">
        <v>916</v>
      </c>
      <c r="E82" s="294"/>
      <c r="F82" s="294"/>
      <c r="G82" s="294"/>
      <c r="H82" s="295"/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ref="O82:R86" si="33">O83</f>
        <v>0</v>
      </c>
      <c r="P82" s="46">
        <f t="shared" si="33"/>
        <v>0</v>
      </c>
      <c r="Q82" s="46">
        <f t="shared" si="33"/>
        <v>0</v>
      </c>
      <c r="R82" s="46">
        <f t="shared" si="33"/>
        <v>0</v>
      </c>
      <c r="T82" s="46">
        <f t="shared" si="32"/>
        <v>0</v>
      </c>
    </row>
    <row r="83" spans="2:20" ht="15.75" x14ac:dyDescent="0.25">
      <c r="B83" s="97">
        <f t="shared" si="30"/>
        <v>76</v>
      </c>
      <c r="C83" s="45">
        <v>6</v>
      </c>
      <c r="D83" s="293" t="s">
        <v>917</v>
      </c>
      <c r="E83" s="294"/>
      <c r="F83" s="294"/>
      <c r="G83" s="294"/>
      <c r="H83" s="295"/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33"/>
        <v>0</v>
      </c>
      <c r="P83" s="46">
        <f t="shared" si="33"/>
        <v>0</v>
      </c>
      <c r="Q83" s="46">
        <f t="shared" si="33"/>
        <v>0</v>
      </c>
      <c r="R83" s="46">
        <f t="shared" si="33"/>
        <v>0</v>
      </c>
      <c r="T83" s="46">
        <f t="shared" si="32"/>
        <v>0</v>
      </c>
    </row>
    <row r="84" spans="2:20" ht="15.75" x14ac:dyDescent="0.25">
      <c r="B84" s="97">
        <f t="shared" si="30"/>
        <v>77</v>
      </c>
      <c r="C84" s="45">
        <v>7</v>
      </c>
      <c r="D84" s="293" t="s">
        <v>703</v>
      </c>
      <c r="E84" s="294"/>
      <c r="F84" s="294"/>
      <c r="G84" s="294"/>
      <c r="H84" s="295"/>
      <c r="I84" s="46">
        <f>I88+I89+I93</f>
        <v>72200</v>
      </c>
      <c r="J84" s="46">
        <f>J85</f>
        <v>66600</v>
      </c>
      <c r="K84" s="46">
        <f t="shared" ref="J84:M86" si="34">K85</f>
        <v>70310</v>
      </c>
      <c r="L84" s="46">
        <f t="shared" si="34"/>
        <v>61051.21</v>
      </c>
      <c r="M84" s="46">
        <f t="shared" si="34"/>
        <v>56517</v>
      </c>
      <c r="N84" s="46">
        <v>0</v>
      </c>
      <c r="O84" s="46">
        <f t="shared" si="33"/>
        <v>0</v>
      </c>
      <c r="P84" s="46">
        <f t="shared" si="33"/>
        <v>0</v>
      </c>
      <c r="Q84" s="46">
        <f t="shared" si="33"/>
        <v>0</v>
      </c>
      <c r="R84" s="46">
        <f t="shared" si="33"/>
        <v>0</v>
      </c>
      <c r="T84" s="46">
        <f t="shared" si="28"/>
        <v>72200</v>
      </c>
    </row>
    <row r="85" spans="2:20" hidden="1" x14ac:dyDescent="0.25">
      <c r="B85" s="97">
        <f t="shared" si="30"/>
        <v>78</v>
      </c>
      <c r="C85" s="47"/>
      <c r="D85" s="47" t="s">
        <v>60</v>
      </c>
      <c r="E85" s="296"/>
      <c r="F85" s="294"/>
      <c r="G85" s="294"/>
      <c r="H85" s="295"/>
      <c r="I85" s="48" t="e">
        <f>#REF!+#REF!</f>
        <v>#REF!</v>
      </c>
      <c r="J85" s="48">
        <f t="shared" si="34"/>
        <v>66600</v>
      </c>
      <c r="K85" s="48">
        <f t="shared" si="34"/>
        <v>70310</v>
      </c>
      <c r="L85" s="48">
        <f t="shared" si="34"/>
        <v>61051.21</v>
      </c>
      <c r="M85" s="48">
        <f t="shared" si="34"/>
        <v>56517</v>
      </c>
      <c r="N85" s="48" t="e">
        <f>#REF!+#REF!</f>
        <v>#REF!</v>
      </c>
      <c r="O85" s="48">
        <f t="shared" si="33"/>
        <v>0</v>
      </c>
      <c r="P85" s="48">
        <f t="shared" si="33"/>
        <v>0</v>
      </c>
      <c r="Q85" s="48">
        <f t="shared" si="33"/>
        <v>0</v>
      </c>
      <c r="R85" s="48">
        <f t="shared" si="33"/>
        <v>0</v>
      </c>
      <c r="T85" s="48" t="e">
        <f t="shared" si="28"/>
        <v>#REF!</v>
      </c>
    </row>
    <row r="86" spans="2:20" hidden="1" x14ac:dyDescent="0.25">
      <c r="B86" s="97">
        <f t="shared" si="30"/>
        <v>79</v>
      </c>
      <c r="C86" s="49"/>
      <c r="D86" s="49"/>
      <c r="E86" s="49"/>
      <c r="F86" s="49"/>
      <c r="G86" s="123"/>
      <c r="H86" s="49" t="s">
        <v>12</v>
      </c>
      <c r="I86" s="50" t="e">
        <f>#REF!+#REF!</f>
        <v>#REF!</v>
      </c>
      <c r="J86" s="50">
        <f t="shared" si="34"/>
        <v>66600</v>
      </c>
      <c r="K86" s="50">
        <f t="shared" si="34"/>
        <v>70310</v>
      </c>
      <c r="L86" s="50">
        <f t="shared" si="34"/>
        <v>61051.21</v>
      </c>
      <c r="M86" s="50">
        <f t="shared" si="34"/>
        <v>56517</v>
      </c>
      <c r="N86" s="50" t="e">
        <f>#REF!+#REF!</f>
        <v>#REF!</v>
      </c>
      <c r="O86" s="50">
        <f t="shared" si="33"/>
        <v>0</v>
      </c>
      <c r="P86" s="50">
        <f t="shared" si="33"/>
        <v>0</v>
      </c>
      <c r="Q86" s="50">
        <f t="shared" si="33"/>
        <v>0</v>
      </c>
      <c r="R86" s="50">
        <f t="shared" si="33"/>
        <v>0</v>
      </c>
      <c r="T86" s="50" t="e">
        <f t="shared" si="28"/>
        <v>#REF!</v>
      </c>
    </row>
    <row r="87" spans="2:20" hidden="1" x14ac:dyDescent="0.25">
      <c r="B87" s="97">
        <f t="shared" si="30"/>
        <v>80</v>
      </c>
      <c r="C87" s="51"/>
      <c r="D87" s="51"/>
      <c r="E87" s="51" t="s">
        <v>60</v>
      </c>
      <c r="F87" s="51"/>
      <c r="G87" s="124"/>
      <c r="H87" s="51"/>
      <c r="I87" s="52" t="e">
        <f>#REF!+#REF!</f>
        <v>#REF!</v>
      </c>
      <c r="J87" s="52">
        <f>J93+J89+J88</f>
        <v>66600</v>
      </c>
      <c r="K87" s="52">
        <f t="shared" ref="K87:R87" si="35">K93+K89+K88</f>
        <v>70310</v>
      </c>
      <c r="L87" s="52">
        <f t="shared" si="35"/>
        <v>61051.21</v>
      </c>
      <c r="M87" s="52">
        <f t="shared" si="35"/>
        <v>56517</v>
      </c>
      <c r="N87" s="52" t="e">
        <f>#REF!+#REF!</f>
        <v>#REF!</v>
      </c>
      <c r="O87" s="52">
        <f t="shared" si="35"/>
        <v>0</v>
      </c>
      <c r="P87" s="52">
        <f t="shared" si="35"/>
        <v>0</v>
      </c>
      <c r="Q87" s="52">
        <f t="shared" si="35"/>
        <v>0</v>
      </c>
      <c r="R87" s="52">
        <f t="shared" si="35"/>
        <v>0</v>
      </c>
      <c r="T87" s="52" t="e">
        <f t="shared" si="28"/>
        <v>#REF!</v>
      </c>
    </row>
    <row r="88" spans="2:20" x14ac:dyDescent="0.25">
      <c r="B88" s="97">
        <f t="shared" si="30"/>
        <v>81</v>
      </c>
      <c r="C88" s="29"/>
      <c r="D88" s="29"/>
      <c r="E88" s="29"/>
      <c r="F88" s="53" t="s">
        <v>302</v>
      </c>
      <c r="G88" s="125">
        <v>620</v>
      </c>
      <c r="H88" s="29" t="s">
        <v>313</v>
      </c>
      <c r="I88" s="15">
        <v>7500</v>
      </c>
      <c r="J88" s="15">
        <v>6600</v>
      </c>
      <c r="K88" s="15">
        <v>7560</v>
      </c>
      <c r="L88" s="15">
        <v>5600.01</v>
      </c>
      <c r="M88" s="15">
        <v>5600</v>
      </c>
      <c r="N88" s="15"/>
      <c r="O88" s="15"/>
      <c r="P88" s="15"/>
      <c r="Q88" s="15"/>
      <c r="R88" s="15"/>
      <c r="T88" s="15">
        <f t="shared" si="28"/>
        <v>7500</v>
      </c>
    </row>
    <row r="89" spans="2:20" x14ac:dyDescent="0.25">
      <c r="B89" s="97">
        <f t="shared" si="30"/>
        <v>82</v>
      </c>
      <c r="C89" s="29"/>
      <c r="D89" s="29"/>
      <c r="E89" s="29"/>
      <c r="F89" s="53" t="s">
        <v>302</v>
      </c>
      <c r="G89" s="125">
        <v>630</v>
      </c>
      <c r="H89" s="29" t="s">
        <v>303</v>
      </c>
      <c r="I89" s="15">
        <f>SUM(I90:I92)</f>
        <v>54860</v>
      </c>
      <c r="J89" s="15">
        <f t="shared" ref="J89:M89" si="36">J92+J91+J90</f>
        <v>50000</v>
      </c>
      <c r="K89" s="15">
        <f t="shared" si="36"/>
        <v>54000</v>
      </c>
      <c r="L89" s="15">
        <f t="shared" si="36"/>
        <v>47891.199999999997</v>
      </c>
      <c r="M89" s="15">
        <f t="shared" si="36"/>
        <v>43035</v>
      </c>
      <c r="N89" s="15"/>
      <c r="O89" s="15"/>
      <c r="P89" s="15"/>
      <c r="Q89" s="15"/>
      <c r="R89" s="15"/>
      <c r="T89" s="15">
        <f t="shared" si="28"/>
        <v>54860</v>
      </c>
    </row>
    <row r="90" spans="2:20" x14ac:dyDescent="0.25">
      <c r="B90" s="97">
        <f t="shared" si="30"/>
        <v>83</v>
      </c>
      <c r="C90" s="9"/>
      <c r="D90" s="9"/>
      <c r="E90" s="9"/>
      <c r="F90" s="54" t="s">
        <v>302</v>
      </c>
      <c r="G90" s="126">
        <v>632</v>
      </c>
      <c r="H90" s="9" t="s">
        <v>314</v>
      </c>
      <c r="I90" s="10">
        <v>20000</v>
      </c>
      <c r="J90" s="10">
        <v>20000</v>
      </c>
      <c r="K90" s="10">
        <v>20000</v>
      </c>
      <c r="L90" s="10">
        <v>19025.73</v>
      </c>
      <c r="M90" s="10">
        <v>17975</v>
      </c>
      <c r="N90" s="15"/>
      <c r="O90" s="10"/>
      <c r="P90" s="10"/>
      <c r="Q90" s="10"/>
      <c r="R90" s="10"/>
      <c r="T90" s="10">
        <f t="shared" si="28"/>
        <v>20000</v>
      </c>
    </row>
    <row r="91" spans="2:20" x14ac:dyDescent="0.25">
      <c r="B91" s="97">
        <f t="shared" ref="B91:B113" si="37">B90+1</f>
        <v>84</v>
      </c>
      <c r="C91" s="9"/>
      <c r="D91" s="9"/>
      <c r="E91" s="9"/>
      <c r="F91" s="54" t="s">
        <v>302</v>
      </c>
      <c r="G91" s="126">
        <v>633</v>
      </c>
      <c r="H91" s="9" t="s">
        <v>305</v>
      </c>
      <c r="I91" s="10">
        <v>5500</v>
      </c>
      <c r="J91" s="10">
        <v>5500</v>
      </c>
      <c r="K91" s="10">
        <v>5500</v>
      </c>
      <c r="L91" s="10">
        <v>3027.42</v>
      </c>
      <c r="M91" s="10">
        <v>5679</v>
      </c>
      <c r="N91" s="15"/>
      <c r="O91" s="10"/>
      <c r="P91" s="10"/>
      <c r="Q91" s="10"/>
      <c r="R91" s="10"/>
      <c r="T91" s="10">
        <f t="shared" si="28"/>
        <v>5500</v>
      </c>
    </row>
    <row r="92" spans="2:20" x14ac:dyDescent="0.25">
      <c r="B92" s="97">
        <f t="shared" si="37"/>
        <v>85</v>
      </c>
      <c r="C92" s="9"/>
      <c r="D92" s="9"/>
      <c r="E92" s="9"/>
      <c r="F92" s="54" t="s">
        <v>302</v>
      </c>
      <c r="G92" s="126">
        <v>637</v>
      </c>
      <c r="H92" s="9" t="s">
        <v>308</v>
      </c>
      <c r="I92" s="10">
        <v>29360</v>
      </c>
      <c r="J92" s="10">
        <v>24500</v>
      </c>
      <c r="K92" s="10">
        <v>28500</v>
      </c>
      <c r="L92" s="10">
        <v>25838.05</v>
      </c>
      <c r="M92" s="10">
        <v>19381</v>
      </c>
      <c r="N92" s="15"/>
      <c r="O92" s="10"/>
      <c r="P92" s="10"/>
      <c r="Q92" s="10"/>
      <c r="R92" s="10"/>
      <c r="T92" s="10">
        <f t="shared" si="28"/>
        <v>29360</v>
      </c>
    </row>
    <row r="93" spans="2:20" x14ac:dyDescent="0.25">
      <c r="B93" s="97">
        <f t="shared" si="37"/>
        <v>86</v>
      </c>
      <c r="C93" s="29"/>
      <c r="D93" s="29"/>
      <c r="E93" s="29"/>
      <c r="F93" s="53" t="s">
        <v>334</v>
      </c>
      <c r="G93" s="125">
        <v>630</v>
      </c>
      <c r="H93" s="29" t="s">
        <v>303</v>
      </c>
      <c r="I93" s="15">
        <f>I94</f>
        <v>9840</v>
      </c>
      <c r="J93" s="15">
        <f t="shared" ref="J93:M93" si="38">J94</f>
        <v>10000</v>
      </c>
      <c r="K93" s="15">
        <f t="shared" si="38"/>
        <v>8750</v>
      </c>
      <c r="L93" s="15">
        <f t="shared" si="38"/>
        <v>7560</v>
      </c>
      <c r="M93" s="15">
        <f t="shared" si="38"/>
        <v>7882</v>
      </c>
      <c r="N93" s="15"/>
      <c r="O93" s="15"/>
      <c r="P93" s="15"/>
      <c r="Q93" s="15"/>
      <c r="R93" s="15"/>
      <c r="T93" s="15">
        <f t="shared" si="28"/>
        <v>9840</v>
      </c>
    </row>
    <row r="94" spans="2:20" x14ac:dyDescent="0.25">
      <c r="B94" s="97">
        <f t="shared" si="37"/>
        <v>87</v>
      </c>
      <c r="C94" s="9"/>
      <c r="D94" s="9"/>
      <c r="E94" s="9"/>
      <c r="F94" s="54" t="s">
        <v>334</v>
      </c>
      <c r="G94" s="126">
        <v>637</v>
      </c>
      <c r="H94" s="9" t="s">
        <v>308</v>
      </c>
      <c r="I94" s="16">
        <v>9840</v>
      </c>
      <c r="J94" s="10">
        <v>10000</v>
      </c>
      <c r="K94" s="10">
        <v>8750</v>
      </c>
      <c r="L94" s="10">
        <v>7560</v>
      </c>
      <c r="M94" s="10">
        <v>7882</v>
      </c>
      <c r="N94" s="15"/>
      <c r="O94" s="10"/>
      <c r="P94" s="10"/>
      <c r="Q94" s="10"/>
      <c r="R94" s="10"/>
      <c r="T94" s="10">
        <f t="shared" si="28"/>
        <v>9840</v>
      </c>
    </row>
    <row r="95" spans="2:20" ht="15.75" x14ac:dyDescent="0.25">
      <c r="B95" s="97">
        <f t="shared" si="37"/>
        <v>88</v>
      </c>
      <c r="C95" s="45">
        <v>8</v>
      </c>
      <c r="D95" s="293" t="s">
        <v>704</v>
      </c>
      <c r="E95" s="294"/>
      <c r="F95" s="294"/>
      <c r="G95" s="294"/>
      <c r="H95" s="295"/>
      <c r="I95" s="46">
        <f>I99</f>
        <v>16000</v>
      </c>
      <c r="J95" s="46">
        <f t="shared" ref="J95:M100" si="39">J96</f>
        <v>16000</v>
      </c>
      <c r="K95" s="46">
        <f t="shared" si="39"/>
        <v>16000</v>
      </c>
      <c r="L95" s="46">
        <f t="shared" si="39"/>
        <v>14968.5</v>
      </c>
      <c r="M95" s="46">
        <f t="shared" si="39"/>
        <v>15131.2</v>
      </c>
      <c r="N95" s="46">
        <v>0</v>
      </c>
      <c r="O95" s="46">
        <f t="shared" ref="O95:R98" si="40">O96</f>
        <v>0</v>
      </c>
      <c r="P95" s="46">
        <f t="shared" si="40"/>
        <v>0</v>
      </c>
      <c r="Q95" s="46">
        <f t="shared" si="40"/>
        <v>0</v>
      </c>
      <c r="R95" s="46">
        <f t="shared" si="40"/>
        <v>0</v>
      </c>
      <c r="T95" s="46">
        <f t="shared" si="28"/>
        <v>16000</v>
      </c>
    </row>
    <row r="96" spans="2:20" hidden="1" x14ac:dyDescent="0.25">
      <c r="B96" s="97">
        <f t="shared" si="37"/>
        <v>89</v>
      </c>
      <c r="C96" s="47"/>
      <c r="D96" s="47" t="s">
        <v>60</v>
      </c>
      <c r="E96" s="296"/>
      <c r="F96" s="294"/>
      <c r="G96" s="294"/>
      <c r="H96" s="295"/>
      <c r="I96" s="48" t="e">
        <f>#REF!+#REF!</f>
        <v>#REF!</v>
      </c>
      <c r="J96" s="48">
        <f t="shared" si="39"/>
        <v>16000</v>
      </c>
      <c r="K96" s="48">
        <f t="shared" si="39"/>
        <v>16000</v>
      </c>
      <c r="L96" s="48">
        <f t="shared" si="39"/>
        <v>14968.5</v>
      </c>
      <c r="M96" s="48">
        <f t="shared" si="39"/>
        <v>15131.2</v>
      </c>
      <c r="N96" s="48" t="e">
        <f>#REF!+#REF!</f>
        <v>#REF!</v>
      </c>
      <c r="O96" s="48">
        <f t="shared" si="40"/>
        <v>0</v>
      </c>
      <c r="P96" s="48">
        <f t="shared" si="40"/>
        <v>0</v>
      </c>
      <c r="Q96" s="48">
        <f t="shared" si="40"/>
        <v>0</v>
      </c>
      <c r="R96" s="48">
        <f t="shared" si="40"/>
        <v>0</v>
      </c>
      <c r="T96" s="48" t="e">
        <f t="shared" si="28"/>
        <v>#REF!</v>
      </c>
    </row>
    <row r="97" spans="2:20" hidden="1" x14ac:dyDescent="0.25">
      <c r="B97" s="97">
        <f t="shared" si="37"/>
        <v>90</v>
      </c>
      <c r="C97" s="49"/>
      <c r="D97" s="49"/>
      <c r="E97" s="49"/>
      <c r="F97" s="49"/>
      <c r="G97" s="123"/>
      <c r="H97" s="49" t="s">
        <v>12</v>
      </c>
      <c r="I97" s="50" t="e">
        <f>#REF!+#REF!</f>
        <v>#REF!</v>
      </c>
      <c r="J97" s="50">
        <f t="shared" si="39"/>
        <v>16000</v>
      </c>
      <c r="K97" s="50">
        <f t="shared" si="39"/>
        <v>16000</v>
      </c>
      <c r="L97" s="50">
        <f t="shared" si="39"/>
        <v>14968.5</v>
      </c>
      <c r="M97" s="50">
        <f t="shared" si="39"/>
        <v>15131.2</v>
      </c>
      <c r="N97" s="50" t="e">
        <f>#REF!+#REF!</f>
        <v>#REF!</v>
      </c>
      <c r="O97" s="50">
        <f t="shared" si="40"/>
        <v>0</v>
      </c>
      <c r="P97" s="50">
        <f t="shared" si="40"/>
        <v>0</v>
      </c>
      <c r="Q97" s="50">
        <f t="shared" si="40"/>
        <v>0</v>
      </c>
      <c r="R97" s="50">
        <f t="shared" si="40"/>
        <v>0</v>
      </c>
      <c r="T97" s="50" t="e">
        <f t="shared" si="28"/>
        <v>#REF!</v>
      </c>
    </row>
    <row r="98" spans="2:20" hidden="1" x14ac:dyDescent="0.25">
      <c r="B98" s="97">
        <f t="shared" si="37"/>
        <v>91</v>
      </c>
      <c r="C98" s="51"/>
      <c r="D98" s="51"/>
      <c r="E98" s="51" t="s">
        <v>60</v>
      </c>
      <c r="F98" s="51"/>
      <c r="G98" s="124"/>
      <c r="H98" s="51"/>
      <c r="I98" s="52" t="e">
        <f>#REF!+#REF!</f>
        <v>#REF!</v>
      </c>
      <c r="J98" s="52">
        <f t="shared" si="39"/>
        <v>16000</v>
      </c>
      <c r="K98" s="52">
        <f t="shared" si="39"/>
        <v>16000</v>
      </c>
      <c r="L98" s="52">
        <f t="shared" si="39"/>
        <v>14968.5</v>
      </c>
      <c r="M98" s="52">
        <f t="shared" si="39"/>
        <v>15131.2</v>
      </c>
      <c r="N98" s="52" t="e">
        <f>#REF!+#REF!</f>
        <v>#REF!</v>
      </c>
      <c r="O98" s="52">
        <f t="shared" si="40"/>
        <v>0</v>
      </c>
      <c r="P98" s="52">
        <f t="shared" si="40"/>
        <v>0</v>
      </c>
      <c r="Q98" s="52">
        <f t="shared" si="40"/>
        <v>0</v>
      </c>
      <c r="R98" s="52">
        <f t="shared" si="40"/>
        <v>0</v>
      </c>
      <c r="T98" s="52" t="e">
        <f t="shared" si="28"/>
        <v>#REF!</v>
      </c>
    </row>
    <row r="99" spans="2:20" x14ac:dyDescent="0.25">
      <c r="B99" s="97">
        <f t="shared" si="37"/>
        <v>92</v>
      </c>
      <c r="C99" s="29"/>
      <c r="D99" s="29"/>
      <c r="E99" s="29"/>
      <c r="F99" s="53" t="s">
        <v>335</v>
      </c>
      <c r="G99" s="125">
        <v>640</v>
      </c>
      <c r="H99" s="29" t="s">
        <v>315</v>
      </c>
      <c r="I99" s="15">
        <f>I100</f>
        <v>16000</v>
      </c>
      <c r="J99" s="15">
        <f t="shared" si="39"/>
        <v>16000</v>
      </c>
      <c r="K99" s="15">
        <f t="shared" si="39"/>
        <v>16000</v>
      </c>
      <c r="L99" s="15">
        <f t="shared" si="39"/>
        <v>14968.5</v>
      </c>
      <c r="M99" s="15">
        <f t="shared" si="39"/>
        <v>15131.2</v>
      </c>
      <c r="N99" s="15"/>
      <c r="O99" s="15"/>
      <c r="P99" s="15"/>
      <c r="Q99" s="15"/>
      <c r="R99" s="15"/>
      <c r="T99" s="15">
        <f t="shared" si="28"/>
        <v>16000</v>
      </c>
    </row>
    <row r="100" spans="2:20" x14ac:dyDescent="0.25">
      <c r="B100" s="97">
        <f t="shared" si="37"/>
        <v>93</v>
      </c>
      <c r="C100" s="9"/>
      <c r="D100" s="9"/>
      <c r="E100" s="9"/>
      <c r="F100" s="54" t="s">
        <v>335</v>
      </c>
      <c r="G100" s="126">
        <v>642</v>
      </c>
      <c r="H100" s="9" t="s">
        <v>316</v>
      </c>
      <c r="I100" s="10">
        <f>I101</f>
        <v>16000</v>
      </c>
      <c r="J100" s="10">
        <f t="shared" si="39"/>
        <v>16000</v>
      </c>
      <c r="K100" s="10">
        <f t="shared" si="39"/>
        <v>16000</v>
      </c>
      <c r="L100" s="10">
        <f t="shared" si="39"/>
        <v>14968.5</v>
      </c>
      <c r="M100" s="10">
        <f t="shared" si="39"/>
        <v>15131.2</v>
      </c>
      <c r="N100" s="15"/>
      <c r="O100" s="10"/>
      <c r="P100" s="10"/>
      <c r="Q100" s="10"/>
      <c r="R100" s="10"/>
      <c r="T100" s="10">
        <f t="shared" si="28"/>
        <v>16000</v>
      </c>
    </row>
    <row r="101" spans="2:20" x14ac:dyDescent="0.25">
      <c r="B101" s="97">
        <f t="shared" si="37"/>
        <v>94</v>
      </c>
      <c r="C101" s="12"/>
      <c r="D101" s="12"/>
      <c r="E101" s="12"/>
      <c r="F101" s="12"/>
      <c r="G101" s="127" t="s">
        <v>60</v>
      </c>
      <c r="H101" s="12" t="s">
        <v>664</v>
      </c>
      <c r="I101" s="13">
        <v>16000</v>
      </c>
      <c r="J101" s="13">
        <v>16000</v>
      </c>
      <c r="K101" s="13">
        <v>16000</v>
      </c>
      <c r="L101" s="13">
        <v>14968.5</v>
      </c>
      <c r="M101" s="13">
        <v>15131.2</v>
      </c>
      <c r="N101" s="15"/>
      <c r="O101" s="13"/>
      <c r="P101" s="13"/>
      <c r="Q101" s="13"/>
      <c r="R101" s="13"/>
      <c r="T101" s="13">
        <f t="shared" si="28"/>
        <v>16000</v>
      </c>
    </row>
    <row r="102" spans="2:20" ht="15.75" x14ac:dyDescent="0.25">
      <c r="B102" s="97">
        <f t="shared" si="37"/>
        <v>95</v>
      </c>
      <c r="C102" s="45">
        <v>9</v>
      </c>
      <c r="D102" s="293" t="s">
        <v>336</v>
      </c>
      <c r="E102" s="294"/>
      <c r="F102" s="294"/>
      <c r="G102" s="294"/>
      <c r="H102" s="295"/>
      <c r="I102" s="46">
        <f>I106+I107+I108</f>
        <v>0</v>
      </c>
      <c r="J102" s="46">
        <f t="shared" ref="J102:M104" si="41">J103</f>
        <v>0</v>
      </c>
      <c r="K102" s="46">
        <f t="shared" si="41"/>
        <v>44273</v>
      </c>
      <c r="L102" s="46">
        <f t="shared" si="41"/>
        <v>15281.29</v>
      </c>
      <c r="M102" s="46">
        <f t="shared" si="41"/>
        <v>142160</v>
      </c>
      <c r="N102" s="46">
        <v>0</v>
      </c>
      <c r="O102" s="46">
        <f t="shared" ref="O102:R104" si="42">O103</f>
        <v>0</v>
      </c>
      <c r="P102" s="46">
        <f t="shared" si="42"/>
        <v>0</v>
      </c>
      <c r="Q102" s="46">
        <f t="shared" si="42"/>
        <v>0</v>
      </c>
      <c r="R102" s="46">
        <f t="shared" si="42"/>
        <v>0</v>
      </c>
      <c r="T102" s="46">
        <f t="shared" si="28"/>
        <v>0</v>
      </c>
    </row>
    <row r="103" spans="2:20" hidden="1" x14ac:dyDescent="0.25">
      <c r="B103" s="97">
        <f t="shared" si="37"/>
        <v>96</v>
      </c>
      <c r="C103" s="47"/>
      <c r="D103" s="47" t="s">
        <v>60</v>
      </c>
      <c r="E103" s="296"/>
      <c r="F103" s="294"/>
      <c r="G103" s="294"/>
      <c r="H103" s="295"/>
      <c r="I103" s="48" t="e">
        <f>#REF!+#REF!</f>
        <v>#REF!</v>
      </c>
      <c r="J103" s="48">
        <f t="shared" si="41"/>
        <v>0</v>
      </c>
      <c r="K103" s="48">
        <f t="shared" si="41"/>
        <v>44273</v>
      </c>
      <c r="L103" s="48">
        <f t="shared" si="41"/>
        <v>15281.29</v>
      </c>
      <c r="M103" s="48">
        <f t="shared" si="41"/>
        <v>142160</v>
      </c>
      <c r="N103" s="48" t="e">
        <f>#REF!+#REF!</f>
        <v>#REF!</v>
      </c>
      <c r="O103" s="48">
        <f t="shared" si="42"/>
        <v>0</v>
      </c>
      <c r="P103" s="48">
        <f t="shared" si="42"/>
        <v>0</v>
      </c>
      <c r="Q103" s="48">
        <f t="shared" si="42"/>
        <v>0</v>
      </c>
      <c r="R103" s="48">
        <f t="shared" si="42"/>
        <v>0</v>
      </c>
      <c r="T103" s="48" t="e">
        <f t="shared" si="28"/>
        <v>#REF!</v>
      </c>
    </row>
    <row r="104" spans="2:20" hidden="1" x14ac:dyDescent="0.25">
      <c r="B104" s="97">
        <f t="shared" si="37"/>
        <v>97</v>
      </c>
      <c r="C104" s="49"/>
      <c r="D104" s="49"/>
      <c r="E104" s="49"/>
      <c r="F104" s="49"/>
      <c r="G104" s="123"/>
      <c r="H104" s="49" t="s">
        <v>12</v>
      </c>
      <c r="I104" s="50" t="e">
        <f>#REF!+#REF!</f>
        <v>#REF!</v>
      </c>
      <c r="J104" s="50">
        <f t="shared" si="41"/>
        <v>0</v>
      </c>
      <c r="K104" s="50">
        <f t="shared" si="41"/>
        <v>44273</v>
      </c>
      <c r="L104" s="50">
        <f t="shared" si="41"/>
        <v>15281.29</v>
      </c>
      <c r="M104" s="50">
        <f t="shared" si="41"/>
        <v>142160</v>
      </c>
      <c r="N104" s="50" t="e">
        <f>#REF!+#REF!</f>
        <v>#REF!</v>
      </c>
      <c r="O104" s="50">
        <f t="shared" si="42"/>
        <v>0</v>
      </c>
      <c r="P104" s="50">
        <f t="shared" si="42"/>
        <v>0</v>
      </c>
      <c r="Q104" s="50">
        <f t="shared" si="42"/>
        <v>0</v>
      </c>
      <c r="R104" s="50">
        <f t="shared" si="42"/>
        <v>0</v>
      </c>
      <c r="T104" s="50" t="e">
        <f t="shared" si="28"/>
        <v>#REF!</v>
      </c>
    </row>
    <row r="105" spans="2:20" hidden="1" x14ac:dyDescent="0.25">
      <c r="B105" s="97">
        <f t="shared" si="37"/>
        <v>98</v>
      </c>
      <c r="C105" s="51"/>
      <c r="D105" s="51"/>
      <c r="E105" s="51" t="s">
        <v>60</v>
      </c>
      <c r="F105" s="51"/>
      <c r="G105" s="124"/>
      <c r="H105" s="51"/>
      <c r="I105" s="52" t="e">
        <f>#REF!+#REF!</f>
        <v>#REF!</v>
      </c>
      <c r="J105" s="52">
        <f t="shared" ref="J105:R105" si="43">J108+J107+J106</f>
        <v>0</v>
      </c>
      <c r="K105" s="52">
        <f t="shared" si="43"/>
        <v>44273</v>
      </c>
      <c r="L105" s="52">
        <f t="shared" si="43"/>
        <v>15281.29</v>
      </c>
      <c r="M105" s="52">
        <f t="shared" si="43"/>
        <v>142160</v>
      </c>
      <c r="N105" s="52" t="e">
        <f>#REF!+#REF!</f>
        <v>#REF!</v>
      </c>
      <c r="O105" s="52">
        <f t="shared" si="43"/>
        <v>0</v>
      </c>
      <c r="P105" s="52">
        <f t="shared" si="43"/>
        <v>0</v>
      </c>
      <c r="Q105" s="52">
        <f t="shared" si="43"/>
        <v>0</v>
      </c>
      <c r="R105" s="52">
        <f t="shared" si="43"/>
        <v>0</v>
      </c>
      <c r="T105" s="52" t="e">
        <f t="shared" si="28"/>
        <v>#REF!</v>
      </c>
    </row>
    <row r="106" spans="2:20" x14ac:dyDescent="0.25">
      <c r="B106" s="97">
        <f t="shared" si="37"/>
        <v>99</v>
      </c>
      <c r="C106" s="29"/>
      <c r="D106" s="29"/>
      <c r="E106" s="29"/>
      <c r="F106" s="53" t="s">
        <v>337</v>
      </c>
      <c r="G106" s="125">
        <v>610</v>
      </c>
      <c r="H106" s="29" t="s">
        <v>338</v>
      </c>
      <c r="I106" s="15">
        <v>0</v>
      </c>
      <c r="J106" s="15">
        <v>0</v>
      </c>
      <c r="K106" s="15">
        <v>2380</v>
      </c>
      <c r="L106" s="15">
        <v>0</v>
      </c>
      <c r="M106" s="15">
        <v>2465</v>
      </c>
      <c r="N106" s="15"/>
      <c r="O106" s="15"/>
      <c r="P106" s="15"/>
      <c r="Q106" s="15"/>
      <c r="R106" s="15"/>
      <c r="T106" s="15">
        <f t="shared" si="28"/>
        <v>0</v>
      </c>
    </row>
    <row r="107" spans="2:20" x14ac:dyDescent="0.25">
      <c r="B107" s="97">
        <f t="shared" si="37"/>
        <v>100</v>
      </c>
      <c r="C107" s="29"/>
      <c r="D107" s="29"/>
      <c r="E107" s="29"/>
      <c r="F107" s="53" t="s">
        <v>337</v>
      </c>
      <c r="G107" s="125">
        <v>620</v>
      </c>
      <c r="H107" s="29" t="s">
        <v>313</v>
      </c>
      <c r="I107" s="15">
        <v>0</v>
      </c>
      <c r="J107" s="15">
        <v>0</v>
      </c>
      <c r="K107" s="15">
        <v>1225</v>
      </c>
      <c r="L107" s="15">
        <v>1418.69</v>
      </c>
      <c r="M107" s="15">
        <v>12225</v>
      </c>
      <c r="N107" s="15"/>
      <c r="O107" s="15"/>
      <c r="P107" s="15"/>
      <c r="Q107" s="15"/>
      <c r="R107" s="15"/>
      <c r="T107" s="15">
        <f t="shared" si="28"/>
        <v>0</v>
      </c>
    </row>
    <row r="108" spans="2:20" x14ac:dyDescent="0.25">
      <c r="B108" s="97">
        <f t="shared" si="37"/>
        <v>101</v>
      </c>
      <c r="C108" s="29"/>
      <c r="D108" s="29"/>
      <c r="E108" s="29"/>
      <c r="F108" s="53" t="s">
        <v>337</v>
      </c>
      <c r="G108" s="125">
        <v>630</v>
      </c>
      <c r="H108" s="29" t="s">
        <v>303</v>
      </c>
      <c r="I108" s="15">
        <f>SUM(I109:I113)</f>
        <v>0</v>
      </c>
      <c r="J108" s="15">
        <f t="shared" ref="J108:M108" si="44">J113+J112+J111+J110+J109</f>
        <v>0</v>
      </c>
      <c r="K108" s="15">
        <f t="shared" si="44"/>
        <v>40668</v>
      </c>
      <c r="L108" s="15">
        <f t="shared" si="44"/>
        <v>13862.6</v>
      </c>
      <c r="M108" s="15">
        <f t="shared" si="44"/>
        <v>127470</v>
      </c>
      <c r="N108" s="15"/>
      <c r="O108" s="15"/>
      <c r="P108" s="15"/>
      <c r="Q108" s="15"/>
      <c r="R108" s="15"/>
      <c r="T108" s="15">
        <f t="shared" si="28"/>
        <v>0</v>
      </c>
    </row>
    <row r="109" spans="2:20" x14ac:dyDescent="0.25">
      <c r="B109" s="97">
        <f t="shared" si="37"/>
        <v>102</v>
      </c>
      <c r="C109" s="9"/>
      <c r="D109" s="9"/>
      <c r="E109" s="9"/>
      <c r="F109" s="54" t="s">
        <v>337</v>
      </c>
      <c r="G109" s="126">
        <v>632</v>
      </c>
      <c r="H109" s="9" t="s">
        <v>314</v>
      </c>
      <c r="I109" s="10">
        <v>0</v>
      </c>
      <c r="J109" s="10">
        <v>0</v>
      </c>
      <c r="K109" s="10">
        <v>3531</v>
      </c>
      <c r="L109" s="10">
        <v>433.6</v>
      </c>
      <c r="M109" s="10">
        <v>3496</v>
      </c>
      <c r="N109" s="15"/>
      <c r="O109" s="10"/>
      <c r="P109" s="10"/>
      <c r="Q109" s="10"/>
      <c r="R109" s="10"/>
      <c r="T109" s="10">
        <f t="shared" si="28"/>
        <v>0</v>
      </c>
    </row>
    <row r="110" spans="2:20" x14ac:dyDescent="0.25">
      <c r="B110" s="97">
        <f t="shared" si="37"/>
        <v>103</v>
      </c>
      <c r="C110" s="9"/>
      <c r="D110" s="9"/>
      <c r="E110" s="9"/>
      <c r="F110" s="54" t="s">
        <v>337</v>
      </c>
      <c r="G110" s="126">
        <v>633</v>
      </c>
      <c r="H110" s="9" t="s">
        <v>305</v>
      </c>
      <c r="I110" s="10">
        <v>0</v>
      </c>
      <c r="J110" s="10">
        <v>0</v>
      </c>
      <c r="K110" s="10">
        <v>2359</v>
      </c>
      <c r="L110" s="10">
        <v>1066.57</v>
      </c>
      <c r="M110" s="10">
        <v>6552</v>
      </c>
      <c r="N110" s="15"/>
      <c r="O110" s="10"/>
      <c r="P110" s="10"/>
      <c r="Q110" s="10"/>
      <c r="R110" s="10"/>
      <c r="T110" s="10">
        <f t="shared" si="28"/>
        <v>0</v>
      </c>
    </row>
    <row r="111" spans="2:20" x14ac:dyDescent="0.25">
      <c r="B111" s="97">
        <f t="shared" si="37"/>
        <v>104</v>
      </c>
      <c r="C111" s="9"/>
      <c r="D111" s="9"/>
      <c r="E111" s="9"/>
      <c r="F111" s="54" t="s">
        <v>337</v>
      </c>
      <c r="G111" s="126">
        <v>634</v>
      </c>
      <c r="H111" s="9" t="s">
        <v>306</v>
      </c>
      <c r="I111" s="10">
        <v>0</v>
      </c>
      <c r="J111" s="10">
        <v>0</v>
      </c>
      <c r="K111" s="10">
        <v>100</v>
      </c>
      <c r="L111" s="10">
        <v>57.23</v>
      </c>
      <c r="M111" s="10">
        <v>471</v>
      </c>
      <c r="N111" s="15"/>
      <c r="O111" s="10"/>
      <c r="P111" s="10"/>
      <c r="Q111" s="10"/>
      <c r="R111" s="10"/>
      <c r="T111" s="10">
        <f t="shared" si="28"/>
        <v>0</v>
      </c>
    </row>
    <row r="112" spans="2:20" x14ac:dyDescent="0.25">
      <c r="B112" s="97">
        <f t="shared" si="37"/>
        <v>105</v>
      </c>
      <c r="C112" s="9"/>
      <c r="D112" s="9"/>
      <c r="E112" s="9"/>
      <c r="F112" s="54" t="s">
        <v>337</v>
      </c>
      <c r="G112" s="126">
        <v>636</v>
      </c>
      <c r="H112" s="9" t="s">
        <v>307</v>
      </c>
      <c r="I112" s="10">
        <v>0</v>
      </c>
      <c r="J112" s="10">
        <v>0</v>
      </c>
      <c r="K112" s="10">
        <v>74</v>
      </c>
      <c r="L112" s="10">
        <v>146</v>
      </c>
      <c r="M112" s="10">
        <v>438</v>
      </c>
      <c r="N112" s="15"/>
      <c r="O112" s="10"/>
      <c r="P112" s="10"/>
      <c r="Q112" s="10"/>
      <c r="R112" s="10"/>
      <c r="T112" s="10">
        <f t="shared" si="28"/>
        <v>0</v>
      </c>
    </row>
    <row r="113" spans="2:20" x14ac:dyDescent="0.25">
      <c r="B113" s="97">
        <f t="shared" si="37"/>
        <v>106</v>
      </c>
      <c r="C113" s="9"/>
      <c r="D113" s="9"/>
      <c r="E113" s="9"/>
      <c r="F113" s="54" t="s">
        <v>337</v>
      </c>
      <c r="G113" s="126">
        <v>637</v>
      </c>
      <c r="H113" s="9" t="s">
        <v>308</v>
      </c>
      <c r="I113" s="10">
        <v>0</v>
      </c>
      <c r="J113" s="10">
        <v>0</v>
      </c>
      <c r="K113" s="10">
        <v>34604</v>
      </c>
      <c r="L113" s="10">
        <v>12159.2</v>
      </c>
      <c r="M113" s="10">
        <v>116513</v>
      </c>
      <c r="N113" s="15"/>
      <c r="O113" s="10"/>
      <c r="P113" s="10"/>
      <c r="Q113" s="10"/>
      <c r="R113" s="10"/>
      <c r="T113" s="10">
        <f t="shared" si="28"/>
        <v>0</v>
      </c>
    </row>
    <row r="115" spans="2:20" ht="27" x14ac:dyDescent="0.35">
      <c r="B115" s="310" t="s">
        <v>339</v>
      </c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</row>
    <row r="116" spans="2:20" ht="15.75" customHeight="1" x14ac:dyDescent="0.25">
      <c r="B116" s="279" t="s">
        <v>286</v>
      </c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1"/>
      <c r="T116" s="314" t="s">
        <v>937</v>
      </c>
    </row>
    <row r="117" spans="2:20" ht="12.75" customHeight="1" x14ac:dyDescent="0.25">
      <c r="B117" s="282"/>
      <c r="C117" s="285" t="s">
        <v>287</v>
      </c>
      <c r="D117" s="285" t="s">
        <v>288</v>
      </c>
      <c r="E117" s="285" t="s">
        <v>289</v>
      </c>
      <c r="F117" s="285" t="s">
        <v>290</v>
      </c>
      <c r="G117" s="303" t="s">
        <v>291</v>
      </c>
      <c r="H117" s="305" t="s">
        <v>292</v>
      </c>
      <c r="I117" s="308" t="s">
        <v>935</v>
      </c>
      <c r="J117" s="299" t="s">
        <v>293</v>
      </c>
      <c r="K117" s="299" t="s">
        <v>294</v>
      </c>
      <c r="L117" s="288" t="s">
        <v>295</v>
      </c>
      <c r="M117" s="288" t="s">
        <v>296</v>
      </c>
      <c r="N117" s="301" t="s">
        <v>936</v>
      </c>
      <c r="O117" s="297" t="s">
        <v>297</v>
      </c>
      <c r="P117" s="299" t="s">
        <v>772</v>
      </c>
      <c r="Q117" s="288" t="s">
        <v>298</v>
      </c>
      <c r="R117" s="288" t="s">
        <v>299</v>
      </c>
      <c r="T117" s="314"/>
    </row>
    <row r="118" spans="2:20" x14ac:dyDescent="0.25">
      <c r="B118" s="283"/>
      <c r="C118" s="286"/>
      <c r="D118" s="286"/>
      <c r="E118" s="286"/>
      <c r="F118" s="286"/>
      <c r="G118" s="303"/>
      <c r="H118" s="306"/>
      <c r="I118" s="308"/>
      <c r="J118" s="299"/>
      <c r="K118" s="299"/>
      <c r="L118" s="288"/>
      <c r="M118" s="288"/>
      <c r="N118" s="301"/>
      <c r="O118" s="297"/>
      <c r="P118" s="299"/>
      <c r="Q118" s="288"/>
      <c r="R118" s="288"/>
      <c r="T118" s="314"/>
    </row>
    <row r="119" spans="2:20" x14ac:dyDescent="0.25">
      <c r="B119" s="283"/>
      <c r="C119" s="286"/>
      <c r="D119" s="286"/>
      <c r="E119" s="286"/>
      <c r="F119" s="286"/>
      <c r="G119" s="303"/>
      <c r="H119" s="306"/>
      <c r="I119" s="308"/>
      <c r="J119" s="299"/>
      <c r="K119" s="299"/>
      <c r="L119" s="288"/>
      <c r="M119" s="288"/>
      <c r="N119" s="301"/>
      <c r="O119" s="297"/>
      <c r="P119" s="299"/>
      <c r="Q119" s="288"/>
      <c r="R119" s="288"/>
      <c r="T119" s="314"/>
    </row>
    <row r="120" spans="2:20" ht="15.75" thickBot="1" x14ac:dyDescent="0.3">
      <c r="B120" s="284"/>
      <c r="C120" s="287"/>
      <c r="D120" s="287"/>
      <c r="E120" s="287"/>
      <c r="F120" s="287"/>
      <c r="G120" s="304"/>
      <c r="H120" s="307"/>
      <c r="I120" s="309"/>
      <c r="J120" s="300"/>
      <c r="K120" s="300"/>
      <c r="L120" s="289"/>
      <c r="M120" s="289"/>
      <c r="N120" s="302"/>
      <c r="O120" s="298"/>
      <c r="P120" s="300"/>
      <c r="Q120" s="289"/>
      <c r="R120" s="289"/>
      <c r="T120" s="314"/>
    </row>
    <row r="121" spans="2:20" ht="16.5" thickTop="1" x14ac:dyDescent="0.25">
      <c r="B121" s="98">
        <v>1</v>
      </c>
      <c r="C121" s="290" t="s">
        <v>663</v>
      </c>
      <c r="D121" s="291"/>
      <c r="E121" s="291"/>
      <c r="F121" s="291"/>
      <c r="G121" s="291"/>
      <c r="H121" s="292"/>
      <c r="I121" s="44">
        <f>I122+I131</f>
        <v>84020</v>
      </c>
      <c r="J121" s="44">
        <f t="shared" ref="J121:R121" si="45">J131+J122</f>
        <v>87500</v>
      </c>
      <c r="K121" s="44">
        <f t="shared" si="45"/>
        <v>86018</v>
      </c>
      <c r="L121" s="44">
        <f t="shared" si="45"/>
        <v>60041.39</v>
      </c>
      <c r="M121" s="44">
        <f t="shared" si="45"/>
        <v>44701.64</v>
      </c>
      <c r="N121" s="44">
        <f t="shared" si="45"/>
        <v>0</v>
      </c>
      <c r="O121" s="44">
        <f t="shared" si="45"/>
        <v>0</v>
      </c>
      <c r="P121" s="44">
        <f t="shared" si="45"/>
        <v>0</v>
      </c>
      <c r="Q121" s="44">
        <f t="shared" si="45"/>
        <v>0</v>
      </c>
      <c r="R121" s="44">
        <f t="shared" si="45"/>
        <v>0</v>
      </c>
      <c r="T121" s="44">
        <f>N121+I121</f>
        <v>84020</v>
      </c>
    </row>
    <row r="122" spans="2:20" ht="15.75" x14ac:dyDescent="0.25">
      <c r="B122" s="97">
        <f>B121+1</f>
        <v>2</v>
      </c>
      <c r="C122" s="45">
        <v>1</v>
      </c>
      <c r="D122" s="293" t="s">
        <v>340</v>
      </c>
      <c r="E122" s="294"/>
      <c r="F122" s="294"/>
      <c r="G122" s="294"/>
      <c r="H122" s="295"/>
      <c r="I122" s="46">
        <f>I126+I129</f>
        <v>52500</v>
      </c>
      <c r="J122" s="46">
        <f t="shared" ref="J122:M122" si="46">J126+J129</f>
        <v>60500</v>
      </c>
      <c r="K122" s="46">
        <f t="shared" si="46"/>
        <v>54500</v>
      </c>
      <c r="L122" s="46">
        <f t="shared" si="46"/>
        <v>33946.559999999998</v>
      </c>
      <c r="M122" s="46">
        <f t="shared" si="46"/>
        <v>40974.639999999999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T122" s="46">
        <f t="shared" ref="T122:T139" si="47">N122+I122</f>
        <v>52500</v>
      </c>
    </row>
    <row r="123" spans="2:20" hidden="1" x14ac:dyDescent="0.25">
      <c r="B123" s="97">
        <f t="shared" ref="B123:B138" si="48">B122+1</f>
        <v>3</v>
      </c>
      <c r="C123" s="47"/>
      <c r="D123" s="47" t="s">
        <v>60</v>
      </c>
      <c r="E123" s="296"/>
      <c r="F123" s="294"/>
      <c r="G123" s="294"/>
      <c r="H123" s="295"/>
      <c r="I123" s="48" t="e">
        <f>#REF!+#REF!</f>
        <v>#REF!</v>
      </c>
      <c r="J123" s="48" t="e">
        <f t="shared" ref="J123:N124" si="49">J124</f>
        <v>#REF!</v>
      </c>
      <c r="K123" s="48" t="e">
        <f t="shared" si="49"/>
        <v>#REF!</v>
      </c>
      <c r="L123" s="48" t="e">
        <f t="shared" si="49"/>
        <v>#REF!</v>
      </c>
      <c r="M123" s="48" t="e">
        <f t="shared" si="49"/>
        <v>#REF!</v>
      </c>
      <c r="N123" s="48" t="e">
        <f t="shared" si="49"/>
        <v>#REF!</v>
      </c>
      <c r="O123" s="48" t="e">
        <f t="shared" ref="O123:R124" si="50">O124</f>
        <v>#REF!</v>
      </c>
      <c r="P123" s="48" t="e">
        <f t="shared" si="50"/>
        <v>#REF!</v>
      </c>
      <c r="Q123" s="48" t="e">
        <f t="shared" si="50"/>
        <v>#REF!</v>
      </c>
      <c r="R123" s="48" t="e">
        <f t="shared" si="50"/>
        <v>#REF!</v>
      </c>
      <c r="T123" s="48" t="e">
        <f t="shared" si="47"/>
        <v>#REF!</v>
      </c>
    </row>
    <row r="124" spans="2:20" hidden="1" x14ac:dyDescent="0.25">
      <c r="B124" s="97">
        <f t="shared" si="48"/>
        <v>4</v>
      </c>
      <c r="C124" s="49"/>
      <c r="D124" s="49"/>
      <c r="E124" s="49"/>
      <c r="F124" s="49"/>
      <c r="G124" s="123"/>
      <c r="H124" s="49" t="s">
        <v>12</v>
      </c>
      <c r="I124" s="50" t="e">
        <f>#REF!+#REF!</f>
        <v>#REF!</v>
      </c>
      <c r="J124" s="50" t="e">
        <f t="shared" si="49"/>
        <v>#REF!</v>
      </c>
      <c r="K124" s="50" t="e">
        <f t="shared" si="49"/>
        <v>#REF!</v>
      </c>
      <c r="L124" s="50" t="e">
        <f t="shared" si="49"/>
        <v>#REF!</v>
      </c>
      <c r="M124" s="50" t="e">
        <f t="shared" si="49"/>
        <v>#REF!</v>
      </c>
      <c r="N124" s="50" t="e">
        <f t="shared" si="49"/>
        <v>#REF!</v>
      </c>
      <c r="O124" s="50" t="e">
        <f t="shared" si="50"/>
        <v>#REF!</v>
      </c>
      <c r="P124" s="50" t="e">
        <f t="shared" si="50"/>
        <v>#REF!</v>
      </c>
      <c r="Q124" s="50" t="e">
        <f t="shared" si="50"/>
        <v>#REF!</v>
      </c>
      <c r="R124" s="50" t="e">
        <f t="shared" si="50"/>
        <v>#REF!</v>
      </c>
      <c r="T124" s="50" t="e">
        <f t="shared" si="47"/>
        <v>#REF!</v>
      </c>
    </row>
    <row r="125" spans="2:20" hidden="1" x14ac:dyDescent="0.25">
      <c r="B125" s="97">
        <f t="shared" si="48"/>
        <v>5</v>
      </c>
      <c r="C125" s="51"/>
      <c r="D125" s="51"/>
      <c r="E125" s="51" t="s">
        <v>60</v>
      </c>
      <c r="F125" s="51"/>
      <c r="G125" s="124"/>
      <c r="H125" s="51"/>
      <c r="I125" s="52" t="e">
        <f>#REF!+#REF!</f>
        <v>#REF!</v>
      </c>
      <c r="J125" s="52" t="e">
        <f>J129+#REF!+J126+#REF!</f>
        <v>#REF!</v>
      </c>
      <c r="K125" s="52" t="e">
        <f>K129+#REF!+K126+#REF!</f>
        <v>#REF!</v>
      </c>
      <c r="L125" s="52" t="e">
        <f>L129+#REF!+L126+#REF!</f>
        <v>#REF!</v>
      </c>
      <c r="M125" s="52" t="e">
        <f>M129+#REF!+M126+#REF!</f>
        <v>#REF!</v>
      </c>
      <c r="N125" s="52" t="e">
        <f>N129+#REF!+N126+#REF!</f>
        <v>#REF!</v>
      </c>
      <c r="O125" s="52" t="e">
        <f>O129+#REF!+O126+#REF!</f>
        <v>#REF!</v>
      </c>
      <c r="P125" s="52" t="e">
        <f>P129+#REF!+P126+#REF!</f>
        <v>#REF!</v>
      </c>
      <c r="Q125" s="52" t="e">
        <f>Q129+#REF!+Q126+#REF!</f>
        <v>#REF!</v>
      </c>
      <c r="R125" s="52" t="e">
        <f>R129+#REF!+R126+#REF!</f>
        <v>#REF!</v>
      </c>
      <c r="T125" s="52" t="e">
        <f t="shared" si="47"/>
        <v>#REF!</v>
      </c>
    </row>
    <row r="126" spans="2:20" x14ac:dyDescent="0.25">
      <c r="B126" s="97">
        <f t="shared" si="48"/>
        <v>6</v>
      </c>
      <c r="C126" s="29"/>
      <c r="D126" s="29"/>
      <c r="E126" s="29"/>
      <c r="F126" s="53" t="s">
        <v>341</v>
      </c>
      <c r="G126" s="125">
        <v>630</v>
      </c>
      <c r="H126" s="29" t="s">
        <v>303</v>
      </c>
      <c r="I126" s="15">
        <f>SUM(I127:I128)</f>
        <v>30500</v>
      </c>
      <c r="J126" s="15">
        <f t="shared" ref="J126:M126" si="51">J128</f>
        <v>30500</v>
      </c>
      <c r="K126" s="15">
        <f t="shared" si="51"/>
        <v>30500</v>
      </c>
      <c r="L126" s="15">
        <f>L128+L127</f>
        <v>21502</v>
      </c>
      <c r="M126" s="15">
        <f t="shared" si="51"/>
        <v>21675</v>
      </c>
      <c r="N126" s="15"/>
      <c r="O126" s="15"/>
      <c r="P126" s="15"/>
      <c r="Q126" s="15"/>
      <c r="R126" s="15"/>
      <c r="T126" s="15">
        <f t="shared" si="47"/>
        <v>30500</v>
      </c>
    </row>
    <row r="127" spans="2:20" x14ac:dyDescent="0.25">
      <c r="B127" s="97">
        <f t="shared" si="48"/>
        <v>7</v>
      </c>
      <c r="C127" s="29"/>
      <c r="D127" s="29"/>
      <c r="E127" s="29"/>
      <c r="F127" s="55" t="s">
        <v>341</v>
      </c>
      <c r="G127" s="128">
        <v>633</v>
      </c>
      <c r="H127" s="56" t="s">
        <v>342</v>
      </c>
      <c r="I127" s="10">
        <v>0</v>
      </c>
      <c r="J127" s="15"/>
      <c r="K127" s="15"/>
      <c r="L127" s="16">
        <v>4653</v>
      </c>
      <c r="M127" s="15"/>
      <c r="N127" s="15"/>
      <c r="O127" s="15"/>
      <c r="P127" s="15"/>
      <c r="Q127" s="15"/>
      <c r="R127" s="15"/>
      <c r="T127" s="15">
        <f t="shared" si="47"/>
        <v>0</v>
      </c>
    </row>
    <row r="128" spans="2:20" x14ac:dyDescent="0.25">
      <c r="B128" s="97">
        <f t="shared" si="48"/>
        <v>8</v>
      </c>
      <c r="C128" s="9"/>
      <c r="D128" s="9"/>
      <c r="E128" s="9"/>
      <c r="F128" s="54" t="s">
        <v>341</v>
      </c>
      <c r="G128" s="126">
        <v>637</v>
      </c>
      <c r="H128" s="9" t="s">
        <v>308</v>
      </c>
      <c r="I128" s="10">
        <v>30500</v>
      </c>
      <c r="J128" s="10">
        <v>30500</v>
      </c>
      <c r="K128" s="10">
        <v>30500</v>
      </c>
      <c r="L128" s="10">
        <v>16849</v>
      </c>
      <c r="M128" s="10">
        <v>21675</v>
      </c>
      <c r="N128" s="10"/>
      <c r="O128" s="10"/>
      <c r="P128" s="10"/>
      <c r="Q128" s="10"/>
      <c r="R128" s="10"/>
      <c r="T128" s="10">
        <f t="shared" si="47"/>
        <v>30500</v>
      </c>
    </row>
    <row r="129" spans="2:20" x14ac:dyDescent="0.25">
      <c r="B129" s="97">
        <f t="shared" si="48"/>
        <v>9</v>
      </c>
      <c r="C129" s="29"/>
      <c r="D129" s="29"/>
      <c r="E129" s="29"/>
      <c r="F129" s="53" t="s">
        <v>344</v>
      </c>
      <c r="G129" s="125">
        <v>630</v>
      </c>
      <c r="H129" s="29" t="s">
        <v>303</v>
      </c>
      <c r="I129" s="15">
        <f>I130</f>
        <v>22000</v>
      </c>
      <c r="J129" s="15">
        <f t="shared" ref="J129:M129" si="52">J130</f>
        <v>30000</v>
      </c>
      <c r="K129" s="15">
        <f t="shared" si="52"/>
        <v>24000</v>
      </c>
      <c r="L129" s="15">
        <f t="shared" si="52"/>
        <v>12444.56</v>
      </c>
      <c r="M129" s="15">
        <f t="shared" si="52"/>
        <v>19299.64</v>
      </c>
      <c r="N129" s="15"/>
      <c r="O129" s="15"/>
      <c r="P129" s="15"/>
      <c r="Q129" s="15"/>
      <c r="R129" s="15"/>
      <c r="T129" s="15">
        <f t="shared" si="47"/>
        <v>22000</v>
      </c>
    </row>
    <row r="130" spans="2:20" x14ac:dyDescent="0.25">
      <c r="B130" s="97">
        <f t="shared" si="48"/>
        <v>10</v>
      </c>
      <c r="C130" s="9"/>
      <c r="D130" s="9"/>
      <c r="E130" s="9"/>
      <c r="F130" s="54" t="s">
        <v>344</v>
      </c>
      <c r="G130" s="126">
        <v>637</v>
      </c>
      <c r="H130" s="9" t="s">
        <v>308</v>
      </c>
      <c r="I130" s="10">
        <v>22000</v>
      </c>
      <c r="J130" s="10">
        <v>30000</v>
      </c>
      <c r="K130" s="10">
        <v>24000</v>
      </c>
      <c r="L130" s="10">
        <v>12444.56</v>
      </c>
      <c r="M130" s="10">
        <v>19299.64</v>
      </c>
      <c r="N130" s="10"/>
      <c r="O130" s="10"/>
      <c r="P130" s="10"/>
      <c r="Q130" s="10"/>
      <c r="R130" s="10"/>
      <c r="T130" s="10">
        <f t="shared" si="47"/>
        <v>22000</v>
      </c>
    </row>
    <row r="131" spans="2:20" ht="15.75" x14ac:dyDescent="0.25">
      <c r="B131" s="97">
        <f t="shared" si="48"/>
        <v>11</v>
      </c>
      <c r="C131" s="45">
        <v>2</v>
      </c>
      <c r="D131" s="293" t="s">
        <v>345</v>
      </c>
      <c r="E131" s="294"/>
      <c r="F131" s="294"/>
      <c r="G131" s="294"/>
      <c r="H131" s="295"/>
      <c r="I131" s="46">
        <f>I135+I137</f>
        <v>31520</v>
      </c>
      <c r="J131" s="46">
        <f t="shared" ref="J131:R133" si="53">J132</f>
        <v>27000</v>
      </c>
      <c r="K131" s="46">
        <f t="shared" si="53"/>
        <v>31518</v>
      </c>
      <c r="L131" s="46">
        <f t="shared" si="53"/>
        <v>26094.83</v>
      </c>
      <c r="M131" s="46">
        <f t="shared" si="53"/>
        <v>3727</v>
      </c>
      <c r="N131" s="46">
        <v>0</v>
      </c>
      <c r="O131" s="46">
        <f t="shared" si="53"/>
        <v>0</v>
      </c>
      <c r="P131" s="46">
        <f t="shared" si="53"/>
        <v>0</v>
      </c>
      <c r="Q131" s="46">
        <f t="shared" si="53"/>
        <v>0</v>
      </c>
      <c r="R131" s="46">
        <f t="shared" si="53"/>
        <v>0</v>
      </c>
      <c r="T131" s="46">
        <f t="shared" si="47"/>
        <v>31520</v>
      </c>
    </row>
    <row r="132" spans="2:20" hidden="1" x14ac:dyDescent="0.25">
      <c r="B132" s="97">
        <f t="shared" si="48"/>
        <v>12</v>
      </c>
      <c r="C132" s="47"/>
      <c r="D132" s="47" t="s">
        <v>60</v>
      </c>
      <c r="E132" s="296"/>
      <c r="F132" s="294"/>
      <c r="G132" s="294"/>
      <c r="H132" s="295"/>
      <c r="I132" s="48" t="e">
        <f>#REF!+#REF!</f>
        <v>#REF!</v>
      </c>
      <c r="J132" s="48">
        <f t="shared" si="53"/>
        <v>27000</v>
      </c>
      <c r="K132" s="48">
        <f t="shared" si="53"/>
        <v>31518</v>
      </c>
      <c r="L132" s="48">
        <f t="shared" si="53"/>
        <v>26094.83</v>
      </c>
      <c r="M132" s="48">
        <f t="shared" si="53"/>
        <v>3727</v>
      </c>
      <c r="N132" s="48">
        <f t="shared" si="53"/>
        <v>0</v>
      </c>
      <c r="O132" s="48">
        <f t="shared" ref="O132:R133" si="54">O133</f>
        <v>0</v>
      </c>
      <c r="P132" s="48">
        <f t="shared" si="54"/>
        <v>0</v>
      </c>
      <c r="Q132" s="48">
        <f t="shared" si="54"/>
        <v>0</v>
      </c>
      <c r="R132" s="48">
        <f t="shared" si="54"/>
        <v>0</v>
      </c>
      <c r="T132" s="48" t="e">
        <f t="shared" si="47"/>
        <v>#REF!</v>
      </c>
    </row>
    <row r="133" spans="2:20" hidden="1" x14ac:dyDescent="0.25">
      <c r="B133" s="97">
        <f t="shared" si="48"/>
        <v>13</v>
      </c>
      <c r="C133" s="49"/>
      <c r="D133" s="49"/>
      <c r="E133" s="49"/>
      <c r="F133" s="49"/>
      <c r="G133" s="123"/>
      <c r="H133" s="49" t="s">
        <v>12</v>
      </c>
      <c r="I133" s="50" t="e">
        <f>#REF!+#REF!</f>
        <v>#REF!</v>
      </c>
      <c r="J133" s="50">
        <f t="shared" si="53"/>
        <v>27000</v>
      </c>
      <c r="K133" s="50">
        <f t="shared" si="53"/>
        <v>31518</v>
      </c>
      <c r="L133" s="50">
        <f t="shared" si="53"/>
        <v>26094.83</v>
      </c>
      <c r="M133" s="50">
        <f t="shared" si="53"/>
        <v>3727</v>
      </c>
      <c r="N133" s="50">
        <f t="shared" si="53"/>
        <v>0</v>
      </c>
      <c r="O133" s="50">
        <f t="shared" si="54"/>
        <v>0</v>
      </c>
      <c r="P133" s="50">
        <f t="shared" si="54"/>
        <v>0</v>
      </c>
      <c r="Q133" s="50">
        <f t="shared" si="54"/>
        <v>0</v>
      </c>
      <c r="R133" s="50">
        <f t="shared" si="54"/>
        <v>0</v>
      </c>
      <c r="T133" s="50" t="e">
        <f t="shared" si="47"/>
        <v>#REF!</v>
      </c>
    </row>
    <row r="134" spans="2:20" hidden="1" x14ac:dyDescent="0.25">
      <c r="B134" s="97">
        <f t="shared" si="48"/>
        <v>14</v>
      </c>
      <c r="C134" s="51"/>
      <c r="D134" s="51"/>
      <c r="E134" s="51" t="s">
        <v>60</v>
      </c>
      <c r="F134" s="51"/>
      <c r="G134" s="124"/>
      <c r="H134" s="51"/>
      <c r="I134" s="52" t="e">
        <f>#REF!+#REF!</f>
        <v>#REF!</v>
      </c>
      <c r="J134" s="52">
        <f t="shared" ref="J134:R134" si="55">J137+J135</f>
        <v>27000</v>
      </c>
      <c r="K134" s="52">
        <f t="shared" si="55"/>
        <v>31518</v>
      </c>
      <c r="L134" s="52">
        <f t="shared" si="55"/>
        <v>26094.83</v>
      </c>
      <c r="M134" s="52">
        <f t="shared" si="55"/>
        <v>3727</v>
      </c>
      <c r="N134" s="52">
        <f t="shared" si="55"/>
        <v>0</v>
      </c>
      <c r="O134" s="52">
        <f t="shared" si="55"/>
        <v>0</v>
      </c>
      <c r="P134" s="52">
        <f t="shared" si="55"/>
        <v>0</v>
      </c>
      <c r="Q134" s="52">
        <f t="shared" si="55"/>
        <v>0</v>
      </c>
      <c r="R134" s="52">
        <f t="shared" si="55"/>
        <v>0</v>
      </c>
      <c r="T134" s="52" t="e">
        <f t="shared" si="47"/>
        <v>#REF!</v>
      </c>
    </row>
    <row r="135" spans="2:20" x14ac:dyDescent="0.25">
      <c r="B135" s="97">
        <f t="shared" si="48"/>
        <v>15</v>
      </c>
      <c r="C135" s="29"/>
      <c r="D135" s="29"/>
      <c r="E135" s="29"/>
      <c r="F135" s="53" t="s">
        <v>341</v>
      </c>
      <c r="G135" s="125">
        <v>630</v>
      </c>
      <c r="H135" s="29" t="s">
        <v>303</v>
      </c>
      <c r="I135" s="15">
        <f>I136</f>
        <v>8000</v>
      </c>
      <c r="J135" s="15">
        <f t="shared" ref="J135:M135" si="56">J136</f>
        <v>8000</v>
      </c>
      <c r="K135" s="15">
        <f t="shared" si="56"/>
        <v>8000</v>
      </c>
      <c r="L135" s="15">
        <f t="shared" si="56"/>
        <v>5336.83</v>
      </c>
      <c r="M135" s="15">
        <f t="shared" si="56"/>
        <v>3727</v>
      </c>
      <c r="N135" s="15"/>
      <c r="O135" s="15"/>
      <c r="P135" s="15"/>
      <c r="Q135" s="15"/>
      <c r="R135" s="15"/>
      <c r="T135" s="15">
        <f t="shared" si="47"/>
        <v>8000</v>
      </c>
    </row>
    <row r="136" spans="2:20" x14ac:dyDescent="0.25">
      <c r="B136" s="97">
        <f t="shared" si="48"/>
        <v>16</v>
      </c>
      <c r="C136" s="9"/>
      <c r="D136" s="9"/>
      <c r="E136" s="9"/>
      <c r="F136" s="54" t="s">
        <v>341</v>
      </c>
      <c r="G136" s="126">
        <v>637</v>
      </c>
      <c r="H136" s="9" t="s">
        <v>308</v>
      </c>
      <c r="I136" s="10">
        <v>8000</v>
      </c>
      <c r="J136" s="10">
        <v>8000</v>
      </c>
      <c r="K136" s="10">
        <v>8000</v>
      </c>
      <c r="L136" s="10">
        <v>5336.83</v>
      </c>
      <c r="M136" s="10">
        <v>3727</v>
      </c>
      <c r="N136" s="10"/>
      <c r="O136" s="10"/>
      <c r="P136" s="10"/>
      <c r="Q136" s="10"/>
      <c r="R136" s="10"/>
      <c r="T136" s="10">
        <f t="shared" si="47"/>
        <v>8000</v>
      </c>
    </row>
    <row r="137" spans="2:20" x14ac:dyDescent="0.25">
      <c r="B137" s="97">
        <f t="shared" si="48"/>
        <v>17</v>
      </c>
      <c r="C137" s="29"/>
      <c r="D137" s="29"/>
      <c r="E137" s="29"/>
      <c r="F137" s="53" t="s">
        <v>341</v>
      </c>
      <c r="G137" s="125">
        <v>640</v>
      </c>
      <c r="H137" s="29" t="s">
        <v>315</v>
      </c>
      <c r="I137" s="15">
        <f>I138</f>
        <v>23520</v>
      </c>
      <c r="J137" s="15">
        <f t="shared" ref="J137:M138" si="57">J138</f>
        <v>19000</v>
      </c>
      <c r="K137" s="15">
        <f t="shared" si="57"/>
        <v>23518</v>
      </c>
      <c r="L137" s="15">
        <f t="shared" si="57"/>
        <v>20758</v>
      </c>
      <c r="M137" s="15">
        <f t="shared" si="57"/>
        <v>0</v>
      </c>
      <c r="N137" s="15"/>
      <c r="O137" s="15"/>
      <c r="P137" s="15"/>
      <c r="Q137" s="15"/>
      <c r="R137" s="15"/>
      <c r="T137" s="15">
        <f t="shared" si="47"/>
        <v>23520</v>
      </c>
    </row>
    <row r="138" spans="2:20" x14ac:dyDescent="0.25">
      <c r="B138" s="97">
        <f t="shared" si="48"/>
        <v>18</v>
      </c>
      <c r="C138" s="9"/>
      <c r="D138" s="9"/>
      <c r="E138" s="9"/>
      <c r="F138" s="54" t="s">
        <v>341</v>
      </c>
      <c r="G138" s="126">
        <v>642</v>
      </c>
      <c r="H138" s="9" t="s">
        <v>316</v>
      </c>
      <c r="I138" s="10">
        <f>I139</f>
        <v>23520</v>
      </c>
      <c r="J138" s="10">
        <f t="shared" si="57"/>
        <v>19000</v>
      </c>
      <c r="K138" s="10">
        <f t="shared" si="57"/>
        <v>23518</v>
      </c>
      <c r="L138" s="10">
        <f t="shared" si="57"/>
        <v>20758</v>
      </c>
      <c r="M138" s="10">
        <f t="shared" si="57"/>
        <v>0</v>
      </c>
      <c r="N138" s="10"/>
      <c r="O138" s="10"/>
      <c r="P138" s="10"/>
      <c r="Q138" s="10"/>
      <c r="R138" s="10"/>
      <c r="T138" s="10">
        <f t="shared" si="47"/>
        <v>23520</v>
      </c>
    </row>
    <row r="139" spans="2:20" x14ac:dyDescent="0.25">
      <c r="B139" s="97">
        <f t="shared" ref="B139" si="58">B138+1</f>
        <v>19</v>
      </c>
      <c r="C139" s="12"/>
      <c r="D139" s="12"/>
      <c r="E139" s="12"/>
      <c r="F139" s="12"/>
      <c r="G139" s="127" t="s">
        <v>60</v>
      </c>
      <c r="H139" s="12" t="s">
        <v>665</v>
      </c>
      <c r="I139" s="13">
        <v>23520</v>
      </c>
      <c r="J139" s="13">
        <v>19000</v>
      </c>
      <c r="K139" s="13">
        <v>23518</v>
      </c>
      <c r="L139" s="13">
        <v>20758</v>
      </c>
      <c r="M139" s="13">
        <v>0</v>
      </c>
      <c r="N139" s="13"/>
      <c r="O139" s="13"/>
      <c r="P139" s="13"/>
      <c r="Q139" s="13"/>
      <c r="R139" s="13"/>
      <c r="T139" s="13">
        <f t="shared" si="47"/>
        <v>23520</v>
      </c>
    </row>
    <row r="148" spans="2:20" ht="27" x14ac:dyDescent="0.35">
      <c r="B148" s="310" t="s">
        <v>346</v>
      </c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</row>
    <row r="149" spans="2:20" ht="15.75" customHeight="1" x14ac:dyDescent="0.25">
      <c r="B149" s="279" t="s">
        <v>286</v>
      </c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1"/>
      <c r="T149" s="314" t="s">
        <v>937</v>
      </c>
    </row>
    <row r="150" spans="2:20" ht="12.75" customHeight="1" x14ac:dyDescent="0.25">
      <c r="B150" s="282"/>
      <c r="C150" s="285" t="s">
        <v>287</v>
      </c>
      <c r="D150" s="285" t="s">
        <v>288</v>
      </c>
      <c r="E150" s="285" t="s">
        <v>289</v>
      </c>
      <c r="F150" s="285" t="s">
        <v>290</v>
      </c>
      <c r="G150" s="303" t="s">
        <v>291</v>
      </c>
      <c r="H150" s="305" t="s">
        <v>292</v>
      </c>
      <c r="I150" s="308" t="s">
        <v>935</v>
      </c>
      <c r="J150" s="299" t="s">
        <v>293</v>
      </c>
      <c r="K150" s="299" t="s">
        <v>294</v>
      </c>
      <c r="L150" s="288" t="s">
        <v>295</v>
      </c>
      <c r="M150" s="288" t="s">
        <v>296</v>
      </c>
      <c r="N150" s="301" t="s">
        <v>936</v>
      </c>
      <c r="O150" s="297" t="s">
        <v>297</v>
      </c>
      <c r="P150" s="299" t="s">
        <v>772</v>
      </c>
      <c r="Q150" s="288" t="s">
        <v>298</v>
      </c>
      <c r="R150" s="288" t="s">
        <v>299</v>
      </c>
      <c r="T150" s="314"/>
    </row>
    <row r="151" spans="2:20" x14ac:dyDescent="0.25">
      <c r="B151" s="283"/>
      <c r="C151" s="286"/>
      <c r="D151" s="286"/>
      <c r="E151" s="286"/>
      <c r="F151" s="286"/>
      <c r="G151" s="303"/>
      <c r="H151" s="306"/>
      <c r="I151" s="308"/>
      <c r="J151" s="299"/>
      <c r="K151" s="299"/>
      <c r="L151" s="288"/>
      <c r="M151" s="288"/>
      <c r="N151" s="301"/>
      <c r="O151" s="297"/>
      <c r="P151" s="299"/>
      <c r="Q151" s="288"/>
      <c r="R151" s="288"/>
      <c r="T151" s="314"/>
    </row>
    <row r="152" spans="2:20" x14ac:dyDescent="0.25">
      <c r="B152" s="283"/>
      <c r="C152" s="286"/>
      <c r="D152" s="286"/>
      <c r="E152" s="286"/>
      <c r="F152" s="286"/>
      <c r="G152" s="303"/>
      <c r="H152" s="306"/>
      <c r="I152" s="308"/>
      <c r="J152" s="299"/>
      <c r="K152" s="299"/>
      <c r="L152" s="288"/>
      <c r="M152" s="288"/>
      <c r="N152" s="301"/>
      <c r="O152" s="297"/>
      <c r="P152" s="299"/>
      <c r="Q152" s="288"/>
      <c r="R152" s="288"/>
      <c r="T152" s="314"/>
    </row>
    <row r="153" spans="2:20" ht="15.75" thickBot="1" x14ac:dyDescent="0.3">
      <c r="B153" s="284"/>
      <c r="C153" s="287"/>
      <c r="D153" s="287"/>
      <c r="E153" s="287"/>
      <c r="F153" s="287"/>
      <c r="G153" s="304"/>
      <c r="H153" s="307"/>
      <c r="I153" s="309"/>
      <c r="J153" s="300"/>
      <c r="K153" s="300"/>
      <c r="L153" s="289"/>
      <c r="M153" s="289"/>
      <c r="N153" s="302"/>
      <c r="O153" s="298"/>
      <c r="P153" s="300"/>
      <c r="Q153" s="289"/>
      <c r="R153" s="289"/>
      <c r="T153" s="314"/>
    </row>
    <row r="154" spans="2:20" ht="16.5" thickTop="1" x14ac:dyDescent="0.25">
      <c r="B154" s="98">
        <v>1</v>
      </c>
      <c r="C154" s="290" t="s">
        <v>346</v>
      </c>
      <c r="D154" s="291"/>
      <c r="E154" s="291"/>
      <c r="F154" s="291"/>
      <c r="G154" s="291"/>
      <c r="H154" s="292"/>
      <c r="I154" s="44">
        <f>I155+I161+I189+I196+I233+I253+I261+I275</f>
        <v>3985570</v>
      </c>
      <c r="J154" s="44">
        <f>J275+J261+J253+J233+J196+J189+J161+J155</f>
        <v>3850600</v>
      </c>
      <c r="K154" s="44">
        <f>K275+K261+K253+K233+K196+K189+K161+K155</f>
        <v>3702575</v>
      </c>
      <c r="L154" s="44">
        <f>L275+L261+L253+L233+L196+L189+L161+L155</f>
        <v>3120311.77</v>
      </c>
      <c r="M154" s="44">
        <f>M275+M261+M253+M233+M196+M189+M161+M155</f>
        <v>3171621.59</v>
      </c>
      <c r="N154" s="44">
        <f>N155+N161+N189+N196+N233+N253+N261+N275</f>
        <v>801415</v>
      </c>
      <c r="O154" s="44">
        <f>O275+O261+O253+O233+O196+O189+O161+O155</f>
        <v>523120</v>
      </c>
      <c r="P154" s="44">
        <f>P275+P261+P253+P233+P196+P189+P161+P155</f>
        <v>423830</v>
      </c>
      <c r="Q154" s="44">
        <f>Q275+Q261+Q253+Q233+Q196+Q189+Q161+Q155</f>
        <v>312248</v>
      </c>
      <c r="R154" s="44">
        <f>R275+R261+R253+R233+R196+R189+R161+R155</f>
        <v>1061885</v>
      </c>
      <c r="T154" s="44">
        <f>I154+N154</f>
        <v>4786985</v>
      </c>
    </row>
    <row r="155" spans="2:20" ht="15.75" x14ac:dyDescent="0.25">
      <c r="B155" s="97">
        <f>B154+1</f>
        <v>2</v>
      </c>
      <c r="C155" s="45">
        <v>1</v>
      </c>
      <c r="D155" s="293" t="s">
        <v>347</v>
      </c>
      <c r="E155" s="294"/>
      <c r="F155" s="294"/>
      <c r="G155" s="294"/>
      <c r="H155" s="295"/>
      <c r="I155" s="46">
        <f>I159</f>
        <v>106000</v>
      </c>
      <c r="J155" s="46">
        <f t="shared" ref="J155:M159" si="59">J156</f>
        <v>55400</v>
      </c>
      <c r="K155" s="46">
        <f t="shared" si="59"/>
        <v>55400</v>
      </c>
      <c r="L155" s="46">
        <f t="shared" si="59"/>
        <v>87120.13</v>
      </c>
      <c r="M155" s="46">
        <f t="shared" si="59"/>
        <v>27498</v>
      </c>
      <c r="N155" s="46">
        <v>0</v>
      </c>
      <c r="O155" s="46">
        <f t="shared" ref="O155:R158" si="60">O156</f>
        <v>0</v>
      </c>
      <c r="P155" s="46">
        <f t="shared" si="60"/>
        <v>0</v>
      </c>
      <c r="Q155" s="46">
        <f t="shared" si="60"/>
        <v>0</v>
      </c>
      <c r="R155" s="46">
        <f t="shared" si="60"/>
        <v>0</v>
      </c>
      <c r="T155" s="46">
        <f t="shared" ref="T155:T219" si="61">I155+N155</f>
        <v>106000</v>
      </c>
    </row>
    <row r="156" spans="2:20" hidden="1" x14ac:dyDescent="0.25">
      <c r="B156" s="97">
        <f t="shared" ref="B156:B226" si="62">B155+1</f>
        <v>3</v>
      </c>
      <c r="C156" s="47"/>
      <c r="D156" s="47" t="s">
        <v>60</v>
      </c>
      <c r="E156" s="296"/>
      <c r="F156" s="294"/>
      <c r="G156" s="294"/>
      <c r="H156" s="295"/>
      <c r="I156" s="48" t="e">
        <f>#REF!+#REF!</f>
        <v>#REF!</v>
      </c>
      <c r="J156" s="48">
        <f t="shared" si="59"/>
        <v>55400</v>
      </c>
      <c r="K156" s="48">
        <f t="shared" si="59"/>
        <v>55400</v>
      </c>
      <c r="L156" s="48">
        <f t="shared" si="59"/>
        <v>87120.13</v>
      </c>
      <c r="M156" s="48">
        <f t="shared" si="59"/>
        <v>27498</v>
      </c>
      <c r="N156" s="48" t="e">
        <f>#REF!+#REF!</f>
        <v>#REF!</v>
      </c>
      <c r="O156" s="48">
        <f t="shared" si="60"/>
        <v>0</v>
      </c>
      <c r="P156" s="48">
        <f t="shared" si="60"/>
        <v>0</v>
      </c>
      <c r="Q156" s="48">
        <f t="shared" si="60"/>
        <v>0</v>
      </c>
      <c r="R156" s="48">
        <f t="shared" si="60"/>
        <v>0</v>
      </c>
      <c r="T156" s="48" t="e">
        <f t="shared" si="61"/>
        <v>#REF!</v>
      </c>
    </row>
    <row r="157" spans="2:20" hidden="1" x14ac:dyDescent="0.25">
      <c r="B157" s="97">
        <f t="shared" si="62"/>
        <v>4</v>
      </c>
      <c r="C157" s="49"/>
      <c r="D157" s="49"/>
      <c r="E157" s="49"/>
      <c r="F157" s="49"/>
      <c r="G157" s="123"/>
      <c r="H157" s="49" t="s">
        <v>12</v>
      </c>
      <c r="I157" s="50" t="e">
        <f>#REF!+#REF!</f>
        <v>#REF!</v>
      </c>
      <c r="J157" s="50">
        <f t="shared" si="59"/>
        <v>55400</v>
      </c>
      <c r="K157" s="50">
        <f t="shared" si="59"/>
        <v>55400</v>
      </c>
      <c r="L157" s="50">
        <f t="shared" si="59"/>
        <v>87120.13</v>
      </c>
      <c r="M157" s="50">
        <f t="shared" si="59"/>
        <v>27498</v>
      </c>
      <c r="N157" s="50" t="e">
        <f>#REF!+#REF!</f>
        <v>#REF!</v>
      </c>
      <c r="O157" s="50">
        <f t="shared" si="60"/>
        <v>0</v>
      </c>
      <c r="P157" s="50">
        <f t="shared" si="60"/>
        <v>0</v>
      </c>
      <c r="Q157" s="50">
        <f t="shared" si="60"/>
        <v>0</v>
      </c>
      <c r="R157" s="50">
        <f t="shared" si="60"/>
        <v>0</v>
      </c>
      <c r="T157" s="50" t="e">
        <f t="shared" si="61"/>
        <v>#REF!</v>
      </c>
    </row>
    <row r="158" spans="2:20" hidden="1" x14ac:dyDescent="0.25">
      <c r="B158" s="97">
        <f t="shared" si="62"/>
        <v>5</v>
      </c>
      <c r="C158" s="51"/>
      <c r="D158" s="51"/>
      <c r="E158" s="51" t="s">
        <v>60</v>
      </c>
      <c r="F158" s="51"/>
      <c r="G158" s="124"/>
      <c r="H158" s="51"/>
      <c r="I158" s="52" t="e">
        <f>#REF!+#REF!</f>
        <v>#REF!</v>
      </c>
      <c r="J158" s="52">
        <f t="shared" si="59"/>
        <v>55400</v>
      </c>
      <c r="K158" s="52">
        <f t="shared" si="59"/>
        <v>55400</v>
      </c>
      <c r="L158" s="52">
        <f t="shared" si="59"/>
        <v>87120.13</v>
      </c>
      <c r="M158" s="52">
        <f t="shared" si="59"/>
        <v>27498</v>
      </c>
      <c r="N158" s="52" t="e">
        <f>#REF!+#REF!</f>
        <v>#REF!</v>
      </c>
      <c r="O158" s="52">
        <f t="shared" si="60"/>
        <v>0</v>
      </c>
      <c r="P158" s="52">
        <f t="shared" si="60"/>
        <v>0</v>
      </c>
      <c r="Q158" s="52">
        <f t="shared" si="60"/>
        <v>0</v>
      </c>
      <c r="R158" s="52">
        <f t="shared" si="60"/>
        <v>0</v>
      </c>
      <c r="T158" s="52" t="e">
        <f t="shared" si="61"/>
        <v>#REF!</v>
      </c>
    </row>
    <row r="159" spans="2:20" x14ac:dyDescent="0.25">
      <c r="B159" s="97">
        <f t="shared" si="62"/>
        <v>6</v>
      </c>
      <c r="C159" s="29"/>
      <c r="D159" s="29"/>
      <c r="E159" s="29"/>
      <c r="F159" s="53" t="s">
        <v>302</v>
      </c>
      <c r="G159" s="125">
        <v>630</v>
      </c>
      <c r="H159" s="29" t="s">
        <v>303</v>
      </c>
      <c r="I159" s="15">
        <f>I160</f>
        <v>106000</v>
      </c>
      <c r="J159" s="15">
        <f t="shared" si="59"/>
        <v>55400</v>
      </c>
      <c r="K159" s="15">
        <f t="shared" si="59"/>
        <v>55400</v>
      </c>
      <c r="L159" s="15">
        <f t="shared" si="59"/>
        <v>87120.13</v>
      </c>
      <c r="M159" s="15">
        <f t="shared" si="59"/>
        <v>27498</v>
      </c>
      <c r="N159" s="15"/>
      <c r="O159" s="15"/>
      <c r="P159" s="15"/>
      <c r="Q159" s="15"/>
      <c r="R159" s="15"/>
      <c r="T159" s="15">
        <f t="shared" si="61"/>
        <v>106000</v>
      </c>
    </row>
    <row r="160" spans="2:20" x14ac:dyDescent="0.25">
      <c r="B160" s="97">
        <f t="shared" si="62"/>
        <v>7</v>
      </c>
      <c r="C160" s="9"/>
      <c r="D160" s="9"/>
      <c r="E160" s="9"/>
      <c r="F160" s="54" t="s">
        <v>302</v>
      </c>
      <c r="G160" s="126">
        <v>637</v>
      </c>
      <c r="H160" s="9" t="s">
        <v>308</v>
      </c>
      <c r="I160" s="10">
        <f>56000+50000</f>
        <v>106000</v>
      </c>
      <c r="J160" s="10">
        <v>55400</v>
      </c>
      <c r="K160" s="10">
        <v>55400</v>
      </c>
      <c r="L160" s="10">
        <v>87120.13</v>
      </c>
      <c r="M160" s="10">
        <v>27498</v>
      </c>
      <c r="N160" s="10"/>
      <c r="O160" s="10"/>
      <c r="P160" s="10"/>
      <c r="Q160" s="10"/>
      <c r="R160" s="10"/>
      <c r="T160" s="10">
        <f t="shared" si="61"/>
        <v>106000</v>
      </c>
    </row>
    <row r="161" spans="2:20" ht="15.75" x14ac:dyDescent="0.25">
      <c r="B161" s="97">
        <f t="shared" si="62"/>
        <v>8</v>
      </c>
      <c r="C161" s="45">
        <v>2</v>
      </c>
      <c r="D161" s="293" t="s">
        <v>348</v>
      </c>
      <c r="E161" s="294"/>
      <c r="F161" s="294"/>
      <c r="G161" s="294"/>
      <c r="H161" s="295"/>
      <c r="I161" s="46">
        <f>I162+I167+I179</f>
        <v>93520</v>
      </c>
      <c r="J161" s="46">
        <f>J179+J167+J162</f>
        <v>94570</v>
      </c>
      <c r="K161" s="46">
        <f>K179+K167+K162</f>
        <v>90570</v>
      </c>
      <c r="L161" s="46">
        <f>L179+L167+L162</f>
        <v>76459.48</v>
      </c>
      <c r="M161" s="46">
        <f>M179+M167+M162</f>
        <v>193109</v>
      </c>
      <c r="N161" s="46">
        <f>N162+N167+N179</f>
        <v>479605</v>
      </c>
      <c r="O161" s="46">
        <f>O179+O167+O162</f>
        <v>302000</v>
      </c>
      <c r="P161" s="46">
        <f>P179+P167+P162</f>
        <v>139010</v>
      </c>
      <c r="Q161" s="46">
        <f>Q179+Q167+Q162</f>
        <v>266187</v>
      </c>
      <c r="R161" s="46">
        <f>R179+R167+R162</f>
        <v>965640</v>
      </c>
      <c r="T161" s="46">
        <f t="shared" si="61"/>
        <v>573125</v>
      </c>
    </row>
    <row r="162" spans="2:20" x14ac:dyDescent="0.25">
      <c r="B162" s="97">
        <f t="shared" si="62"/>
        <v>9</v>
      </c>
      <c r="C162" s="47"/>
      <c r="D162" s="47">
        <v>1</v>
      </c>
      <c r="E162" s="296" t="s">
        <v>349</v>
      </c>
      <c r="F162" s="294"/>
      <c r="G162" s="294"/>
      <c r="H162" s="295"/>
      <c r="I162" s="48">
        <f>I165</f>
        <v>2300</v>
      </c>
      <c r="J162" s="48">
        <f t="shared" ref="J162:M165" si="63">J163</f>
        <v>2300</v>
      </c>
      <c r="K162" s="48">
        <f t="shared" si="63"/>
        <v>2300</v>
      </c>
      <c r="L162" s="48">
        <f t="shared" si="63"/>
        <v>1638.92</v>
      </c>
      <c r="M162" s="48">
        <f t="shared" si="63"/>
        <v>2285</v>
      </c>
      <c r="N162" s="48">
        <v>0</v>
      </c>
      <c r="O162" s="48">
        <f t="shared" ref="O162:R164" si="64">O163</f>
        <v>0</v>
      </c>
      <c r="P162" s="48">
        <f t="shared" si="64"/>
        <v>0</v>
      </c>
      <c r="Q162" s="48">
        <f t="shared" si="64"/>
        <v>0</v>
      </c>
      <c r="R162" s="48">
        <f t="shared" si="64"/>
        <v>0</v>
      </c>
      <c r="T162" s="48">
        <f t="shared" si="61"/>
        <v>2300</v>
      </c>
    </row>
    <row r="163" spans="2:20" hidden="1" x14ac:dyDescent="0.25">
      <c r="B163" s="97">
        <f t="shared" si="62"/>
        <v>10</v>
      </c>
      <c r="C163" s="49"/>
      <c r="D163" s="49"/>
      <c r="E163" s="49"/>
      <c r="F163" s="49"/>
      <c r="G163" s="123"/>
      <c r="H163" s="49" t="s">
        <v>12</v>
      </c>
      <c r="I163" s="50" t="e">
        <f>#REF!+#REF!</f>
        <v>#REF!</v>
      </c>
      <c r="J163" s="50">
        <f t="shared" si="63"/>
        <v>2300</v>
      </c>
      <c r="K163" s="50">
        <f t="shared" si="63"/>
        <v>2300</v>
      </c>
      <c r="L163" s="50">
        <f t="shared" si="63"/>
        <v>1638.92</v>
      </c>
      <c r="M163" s="50">
        <f t="shared" si="63"/>
        <v>2285</v>
      </c>
      <c r="N163" s="50" t="e">
        <f>#REF!+#REF!</f>
        <v>#REF!</v>
      </c>
      <c r="O163" s="50">
        <f t="shared" si="64"/>
        <v>0</v>
      </c>
      <c r="P163" s="50">
        <f t="shared" si="64"/>
        <v>0</v>
      </c>
      <c r="Q163" s="50">
        <f t="shared" si="64"/>
        <v>0</v>
      </c>
      <c r="R163" s="50">
        <f t="shared" si="64"/>
        <v>0</v>
      </c>
      <c r="T163" s="50" t="e">
        <f t="shared" si="61"/>
        <v>#REF!</v>
      </c>
    </row>
    <row r="164" spans="2:20" hidden="1" x14ac:dyDescent="0.25">
      <c r="B164" s="97">
        <f t="shared" si="62"/>
        <v>11</v>
      </c>
      <c r="C164" s="51"/>
      <c r="D164" s="51"/>
      <c r="E164" s="51" t="s">
        <v>60</v>
      </c>
      <c r="F164" s="51"/>
      <c r="G164" s="124"/>
      <c r="H164" s="51"/>
      <c r="I164" s="52" t="e">
        <f>#REF!+#REF!</f>
        <v>#REF!</v>
      </c>
      <c r="J164" s="52">
        <f t="shared" si="63"/>
        <v>2300</v>
      </c>
      <c r="K164" s="52">
        <f t="shared" si="63"/>
        <v>2300</v>
      </c>
      <c r="L164" s="52">
        <f t="shared" si="63"/>
        <v>1638.92</v>
      </c>
      <c r="M164" s="52">
        <f t="shared" si="63"/>
        <v>2285</v>
      </c>
      <c r="N164" s="52" t="e">
        <f>#REF!+#REF!</f>
        <v>#REF!</v>
      </c>
      <c r="O164" s="52">
        <f t="shared" si="64"/>
        <v>0</v>
      </c>
      <c r="P164" s="52">
        <f t="shared" si="64"/>
        <v>0</v>
      </c>
      <c r="Q164" s="52">
        <f t="shared" si="64"/>
        <v>0</v>
      </c>
      <c r="R164" s="52">
        <f t="shared" si="64"/>
        <v>0</v>
      </c>
      <c r="T164" s="52" t="e">
        <f t="shared" si="61"/>
        <v>#REF!</v>
      </c>
    </row>
    <row r="165" spans="2:20" x14ac:dyDescent="0.25">
      <c r="B165" s="97">
        <f t="shared" si="62"/>
        <v>12</v>
      </c>
      <c r="C165" s="29"/>
      <c r="D165" s="29"/>
      <c r="E165" s="29"/>
      <c r="F165" s="53" t="s">
        <v>302</v>
      </c>
      <c r="G165" s="125">
        <v>630</v>
      </c>
      <c r="H165" s="29" t="s">
        <v>303</v>
      </c>
      <c r="I165" s="15">
        <f>I166</f>
        <v>2300</v>
      </c>
      <c r="J165" s="15">
        <f t="shared" si="63"/>
        <v>2300</v>
      </c>
      <c r="K165" s="15">
        <f t="shared" si="63"/>
        <v>2300</v>
      </c>
      <c r="L165" s="15">
        <f t="shared" si="63"/>
        <v>1638.92</v>
      </c>
      <c r="M165" s="15">
        <f t="shared" si="63"/>
        <v>2285</v>
      </c>
      <c r="N165" s="15"/>
      <c r="O165" s="15"/>
      <c r="P165" s="15"/>
      <c r="Q165" s="15"/>
      <c r="R165" s="15"/>
      <c r="T165" s="15">
        <f t="shared" si="61"/>
        <v>2300</v>
      </c>
    </row>
    <row r="166" spans="2:20" x14ac:dyDescent="0.25">
      <c r="B166" s="97">
        <f t="shared" si="62"/>
        <v>13</v>
      </c>
      <c r="C166" s="9"/>
      <c r="D166" s="9"/>
      <c r="E166" s="9"/>
      <c r="F166" s="54" t="s">
        <v>302</v>
      </c>
      <c r="G166" s="126">
        <v>637</v>
      </c>
      <c r="H166" s="9" t="s">
        <v>308</v>
      </c>
      <c r="I166" s="10">
        <v>2300</v>
      </c>
      <c r="J166" s="10">
        <v>2300</v>
      </c>
      <c r="K166" s="10">
        <v>2300</v>
      </c>
      <c r="L166" s="10">
        <v>1638.92</v>
      </c>
      <c r="M166" s="10">
        <v>2285</v>
      </c>
      <c r="N166" s="10"/>
      <c r="O166" s="10"/>
      <c r="P166" s="10"/>
      <c r="Q166" s="10"/>
      <c r="R166" s="10"/>
      <c r="T166" s="10">
        <f t="shared" si="61"/>
        <v>2300</v>
      </c>
    </row>
    <row r="167" spans="2:20" x14ac:dyDescent="0.25">
      <c r="B167" s="97">
        <f t="shared" si="62"/>
        <v>14</v>
      </c>
      <c r="C167" s="47"/>
      <c r="D167" s="47">
        <v>2</v>
      </c>
      <c r="E167" s="296" t="s">
        <v>350</v>
      </c>
      <c r="F167" s="294"/>
      <c r="G167" s="294"/>
      <c r="H167" s="295"/>
      <c r="I167" s="48">
        <f>I170</f>
        <v>20160</v>
      </c>
      <c r="J167" s="48">
        <f t="shared" ref="J167:M168" si="65">J168</f>
        <v>20160</v>
      </c>
      <c r="K167" s="48">
        <f t="shared" si="65"/>
        <v>16160</v>
      </c>
      <c r="L167" s="48">
        <f t="shared" si="65"/>
        <v>14951.18</v>
      </c>
      <c r="M167" s="48">
        <f t="shared" si="65"/>
        <v>22485</v>
      </c>
      <c r="N167" s="48">
        <f>N173+N177</f>
        <v>182175</v>
      </c>
      <c r="O167" s="48">
        <f t="shared" ref="O167:R168" si="66">O168</f>
        <v>32800</v>
      </c>
      <c r="P167" s="48">
        <f t="shared" si="66"/>
        <v>100</v>
      </c>
      <c r="Q167" s="48">
        <f t="shared" si="66"/>
        <v>66</v>
      </c>
      <c r="R167" s="48">
        <f t="shared" si="66"/>
        <v>12</v>
      </c>
      <c r="T167" s="48">
        <f t="shared" si="61"/>
        <v>202335</v>
      </c>
    </row>
    <row r="168" spans="2:20" hidden="1" x14ac:dyDescent="0.25">
      <c r="B168" s="97">
        <f t="shared" si="62"/>
        <v>15</v>
      </c>
      <c r="C168" s="49"/>
      <c r="D168" s="49"/>
      <c r="E168" s="49"/>
      <c r="F168" s="49"/>
      <c r="G168" s="123"/>
      <c r="H168" s="49" t="s">
        <v>12</v>
      </c>
      <c r="I168" s="50" t="e">
        <f>#REF!+#REF!</f>
        <v>#REF!</v>
      </c>
      <c r="J168" s="50">
        <f t="shared" si="65"/>
        <v>20160</v>
      </c>
      <c r="K168" s="50">
        <f t="shared" si="65"/>
        <v>16160</v>
      </c>
      <c r="L168" s="50">
        <f t="shared" si="65"/>
        <v>14951.18</v>
      </c>
      <c r="M168" s="50">
        <f t="shared" si="65"/>
        <v>22485</v>
      </c>
      <c r="N168" s="50" t="e">
        <f>#REF!+#REF!</f>
        <v>#REF!</v>
      </c>
      <c r="O168" s="50">
        <f t="shared" si="66"/>
        <v>32800</v>
      </c>
      <c r="P168" s="50">
        <f t="shared" si="66"/>
        <v>100</v>
      </c>
      <c r="Q168" s="50">
        <f t="shared" si="66"/>
        <v>66</v>
      </c>
      <c r="R168" s="50">
        <f t="shared" si="66"/>
        <v>12</v>
      </c>
      <c r="T168" s="50" t="e">
        <f t="shared" si="61"/>
        <v>#REF!</v>
      </c>
    </row>
    <row r="169" spans="2:20" hidden="1" x14ac:dyDescent="0.25">
      <c r="B169" s="97">
        <f t="shared" si="62"/>
        <v>16</v>
      </c>
      <c r="C169" s="51"/>
      <c r="D169" s="51"/>
      <c r="E169" s="51" t="s">
        <v>60</v>
      </c>
      <c r="F169" s="51"/>
      <c r="G169" s="124"/>
      <c r="H169" s="51"/>
      <c r="I169" s="52" t="e">
        <f>#REF!+#REF!</f>
        <v>#REF!</v>
      </c>
      <c r="J169" s="52">
        <f t="shared" ref="J169:R169" si="67">J173+J170</f>
        <v>20160</v>
      </c>
      <c r="K169" s="52">
        <f t="shared" si="67"/>
        <v>16160</v>
      </c>
      <c r="L169" s="52">
        <f t="shared" si="67"/>
        <v>14951.18</v>
      </c>
      <c r="M169" s="52">
        <f t="shared" si="67"/>
        <v>22485</v>
      </c>
      <c r="N169" s="52" t="e">
        <f>#REF!+#REF!</f>
        <v>#REF!</v>
      </c>
      <c r="O169" s="52">
        <f t="shared" si="67"/>
        <v>32800</v>
      </c>
      <c r="P169" s="52">
        <f t="shared" si="67"/>
        <v>100</v>
      </c>
      <c r="Q169" s="52">
        <f t="shared" si="67"/>
        <v>66</v>
      </c>
      <c r="R169" s="52">
        <f t="shared" si="67"/>
        <v>12</v>
      </c>
      <c r="T169" s="52" t="e">
        <f t="shared" si="61"/>
        <v>#REF!</v>
      </c>
    </row>
    <row r="170" spans="2:20" x14ac:dyDescent="0.25">
      <c r="B170" s="97">
        <f t="shared" si="62"/>
        <v>17</v>
      </c>
      <c r="C170" s="29"/>
      <c r="D170" s="29"/>
      <c r="E170" s="29"/>
      <c r="F170" s="53" t="s">
        <v>302</v>
      </c>
      <c r="G170" s="125">
        <v>630</v>
      </c>
      <c r="H170" s="29" t="s">
        <v>303</v>
      </c>
      <c r="I170" s="15">
        <f>SUM(I171:I172)</f>
        <v>20160</v>
      </c>
      <c r="J170" s="15">
        <f t="shared" ref="J170:M170" si="68">J172+J171</f>
        <v>20160</v>
      </c>
      <c r="K170" s="15">
        <f t="shared" si="68"/>
        <v>16160</v>
      </c>
      <c r="L170" s="15">
        <f t="shared" si="68"/>
        <v>14951.18</v>
      </c>
      <c r="M170" s="15">
        <f t="shared" si="68"/>
        <v>22485</v>
      </c>
      <c r="N170" s="15"/>
      <c r="O170" s="15"/>
      <c r="P170" s="15"/>
      <c r="Q170" s="15"/>
      <c r="R170" s="15"/>
      <c r="T170" s="15">
        <f t="shared" si="61"/>
        <v>20160</v>
      </c>
    </row>
    <row r="171" spans="2:20" x14ac:dyDescent="0.25">
      <c r="B171" s="97">
        <f t="shared" si="62"/>
        <v>18</v>
      </c>
      <c r="C171" s="9"/>
      <c r="D171" s="9"/>
      <c r="E171" s="9"/>
      <c r="F171" s="54" t="s">
        <v>302</v>
      </c>
      <c r="G171" s="126">
        <v>636</v>
      </c>
      <c r="H171" s="9" t="s">
        <v>307</v>
      </c>
      <c r="I171" s="10">
        <v>9410</v>
      </c>
      <c r="J171" s="10">
        <v>9410</v>
      </c>
      <c r="K171" s="10">
        <v>9410</v>
      </c>
      <c r="L171" s="10">
        <v>9408</v>
      </c>
      <c r="M171" s="10">
        <v>9408</v>
      </c>
      <c r="N171" s="10"/>
      <c r="O171" s="10"/>
      <c r="P171" s="10"/>
      <c r="Q171" s="10"/>
      <c r="R171" s="10"/>
      <c r="T171" s="10">
        <f t="shared" si="61"/>
        <v>9410</v>
      </c>
    </row>
    <row r="172" spans="2:20" x14ac:dyDescent="0.25">
      <c r="B172" s="97">
        <f t="shared" si="62"/>
        <v>19</v>
      </c>
      <c r="C172" s="9"/>
      <c r="D172" s="9"/>
      <c r="E172" s="9"/>
      <c r="F172" s="54" t="s">
        <v>302</v>
      </c>
      <c r="G172" s="126">
        <v>637</v>
      </c>
      <c r="H172" s="9" t="s">
        <v>308</v>
      </c>
      <c r="I172" s="10">
        <v>10750</v>
      </c>
      <c r="J172" s="10">
        <v>10750</v>
      </c>
      <c r="K172" s="10">
        <f>10750-4000</f>
        <v>6750</v>
      </c>
      <c r="L172" s="10">
        <v>5543.18</v>
      </c>
      <c r="M172" s="10">
        <v>13077</v>
      </c>
      <c r="N172" s="10"/>
      <c r="O172" s="10"/>
      <c r="P172" s="10"/>
      <c r="Q172" s="10"/>
      <c r="R172" s="10"/>
      <c r="T172" s="10">
        <f t="shared" si="61"/>
        <v>10750</v>
      </c>
    </row>
    <row r="173" spans="2:20" x14ac:dyDescent="0.25">
      <c r="B173" s="97">
        <f t="shared" si="62"/>
        <v>20</v>
      </c>
      <c r="C173" s="29"/>
      <c r="D173" s="29"/>
      <c r="E173" s="29"/>
      <c r="F173" s="53" t="s">
        <v>302</v>
      </c>
      <c r="G173" s="125">
        <v>710</v>
      </c>
      <c r="H173" s="29" t="s">
        <v>321</v>
      </c>
      <c r="I173" s="15"/>
      <c r="J173" s="15"/>
      <c r="K173" s="15"/>
      <c r="L173" s="15"/>
      <c r="M173" s="15"/>
      <c r="N173" s="15">
        <f>N174</f>
        <v>32800</v>
      </c>
      <c r="O173" s="15">
        <f t="shared" ref="O173:R173" si="69">O174</f>
        <v>32800</v>
      </c>
      <c r="P173" s="15">
        <f t="shared" si="69"/>
        <v>100</v>
      </c>
      <c r="Q173" s="15">
        <f t="shared" si="69"/>
        <v>66</v>
      </c>
      <c r="R173" s="15">
        <f t="shared" si="69"/>
        <v>12</v>
      </c>
      <c r="T173" s="15">
        <f t="shared" si="61"/>
        <v>32800</v>
      </c>
    </row>
    <row r="174" spans="2:20" x14ac:dyDescent="0.25">
      <c r="B174" s="97">
        <f t="shared" si="62"/>
        <v>21</v>
      </c>
      <c r="C174" s="9"/>
      <c r="D174" s="9"/>
      <c r="E174" s="9"/>
      <c r="F174" s="54" t="s">
        <v>302</v>
      </c>
      <c r="G174" s="126">
        <v>712</v>
      </c>
      <c r="H174" s="9" t="s">
        <v>351</v>
      </c>
      <c r="I174" s="10"/>
      <c r="J174" s="10"/>
      <c r="K174" s="10"/>
      <c r="L174" s="10"/>
      <c r="M174" s="10"/>
      <c r="N174" s="10">
        <f>N175+N176</f>
        <v>32800</v>
      </c>
      <c r="O174" s="10">
        <f>O175+O176</f>
        <v>32800</v>
      </c>
      <c r="P174" s="10">
        <f>P175</f>
        <v>100</v>
      </c>
      <c r="Q174" s="10">
        <f>Q175</f>
        <v>66</v>
      </c>
      <c r="R174" s="10">
        <f>R175</f>
        <v>12</v>
      </c>
      <c r="T174" s="10">
        <f t="shared" si="61"/>
        <v>32800</v>
      </c>
    </row>
    <row r="175" spans="2:20" x14ac:dyDescent="0.25">
      <c r="B175" s="97">
        <f t="shared" si="62"/>
        <v>22</v>
      </c>
      <c r="C175" s="12"/>
      <c r="D175" s="12"/>
      <c r="E175" s="12"/>
      <c r="F175" s="12"/>
      <c r="G175" s="127"/>
      <c r="H175" s="12" t="s">
        <v>769</v>
      </c>
      <c r="I175" s="13"/>
      <c r="J175" s="13"/>
      <c r="K175" s="13"/>
      <c r="L175" s="13"/>
      <c r="M175" s="13"/>
      <c r="N175" s="13">
        <v>100</v>
      </c>
      <c r="O175" s="13">
        <v>100</v>
      </c>
      <c r="P175" s="13">
        <v>100</v>
      </c>
      <c r="Q175" s="13">
        <v>66</v>
      </c>
      <c r="R175" s="13">
        <v>12</v>
      </c>
      <c r="T175" s="13">
        <f t="shared" si="61"/>
        <v>100</v>
      </c>
    </row>
    <row r="176" spans="2:20" x14ac:dyDescent="0.25">
      <c r="B176" s="97">
        <f t="shared" si="62"/>
        <v>23</v>
      </c>
      <c r="C176" s="12"/>
      <c r="D176" s="12"/>
      <c r="E176" s="57"/>
      <c r="F176" s="12"/>
      <c r="G176" s="127"/>
      <c r="H176" s="12" t="s">
        <v>785</v>
      </c>
      <c r="I176" s="147"/>
      <c r="J176" s="13"/>
      <c r="K176" s="13"/>
      <c r="L176" s="13"/>
      <c r="M176" s="13"/>
      <c r="N176" s="13">
        <v>32700</v>
      </c>
      <c r="O176" s="13">
        <v>32700</v>
      </c>
      <c r="P176" s="13"/>
      <c r="Q176" s="13"/>
      <c r="R176" s="13"/>
      <c r="T176" s="13">
        <f t="shared" si="61"/>
        <v>32700</v>
      </c>
    </row>
    <row r="177" spans="2:20" x14ac:dyDescent="0.25">
      <c r="B177" s="97">
        <f t="shared" si="62"/>
        <v>24</v>
      </c>
      <c r="C177" s="12"/>
      <c r="D177" s="12"/>
      <c r="E177" s="57"/>
      <c r="F177" s="54" t="s">
        <v>302</v>
      </c>
      <c r="G177" s="126">
        <v>719</v>
      </c>
      <c r="H177" s="9" t="s">
        <v>361</v>
      </c>
      <c r="I177" s="10"/>
      <c r="J177" s="10"/>
      <c r="K177" s="10"/>
      <c r="L177" s="10"/>
      <c r="M177" s="10"/>
      <c r="N177" s="10">
        <f>N178</f>
        <v>149375</v>
      </c>
      <c r="O177" s="10"/>
      <c r="P177" s="10"/>
      <c r="Q177" s="10"/>
      <c r="R177" s="10"/>
      <c r="T177" s="10">
        <f t="shared" si="61"/>
        <v>149375</v>
      </c>
    </row>
    <row r="178" spans="2:20" x14ac:dyDescent="0.25">
      <c r="B178" s="97">
        <f t="shared" si="62"/>
        <v>25</v>
      </c>
      <c r="C178" s="12"/>
      <c r="D178" s="12"/>
      <c r="E178" s="57"/>
      <c r="F178" s="12"/>
      <c r="G178" s="127"/>
      <c r="H178" s="12" t="s">
        <v>806</v>
      </c>
      <c r="I178" s="147"/>
      <c r="J178" s="13"/>
      <c r="K178" s="13"/>
      <c r="L178" s="13"/>
      <c r="M178" s="13"/>
      <c r="N178" s="13">
        <v>149375</v>
      </c>
      <c r="O178" s="13"/>
      <c r="P178" s="13"/>
      <c r="Q178" s="13"/>
      <c r="R178" s="13"/>
      <c r="T178" s="13">
        <f t="shared" si="61"/>
        <v>149375</v>
      </c>
    </row>
    <row r="179" spans="2:20" x14ac:dyDescent="0.25">
      <c r="B179" s="97">
        <f t="shared" si="62"/>
        <v>26</v>
      </c>
      <c r="C179" s="47"/>
      <c r="D179" s="47">
        <v>3</v>
      </c>
      <c r="E179" s="296" t="s">
        <v>352</v>
      </c>
      <c r="F179" s="312"/>
      <c r="G179" s="312"/>
      <c r="H179" s="313"/>
      <c r="I179" s="48">
        <f>I182</f>
        <v>71060</v>
      </c>
      <c r="J179" s="48">
        <f t="shared" ref="J179:M180" si="70">J180</f>
        <v>72110</v>
      </c>
      <c r="K179" s="48">
        <f t="shared" si="70"/>
        <v>72110</v>
      </c>
      <c r="L179" s="48">
        <f t="shared" si="70"/>
        <v>59869.38</v>
      </c>
      <c r="M179" s="48">
        <f t="shared" si="70"/>
        <v>168339</v>
      </c>
      <c r="N179" s="48">
        <f>N185</f>
        <v>297430</v>
      </c>
      <c r="O179" s="48">
        <f t="shared" ref="O179:R180" si="71">O180</f>
        <v>269200</v>
      </c>
      <c r="P179" s="48">
        <f t="shared" si="71"/>
        <v>138910</v>
      </c>
      <c r="Q179" s="48">
        <f t="shared" si="71"/>
        <v>266121</v>
      </c>
      <c r="R179" s="48">
        <f t="shared" si="71"/>
        <v>965628</v>
      </c>
      <c r="T179" s="48">
        <f t="shared" si="61"/>
        <v>368490</v>
      </c>
    </row>
    <row r="180" spans="2:20" hidden="1" x14ac:dyDescent="0.25">
      <c r="B180" s="97">
        <f t="shared" si="62"/>
        <v>27</v>
      </c>
      <c r="C180" s="49"/>
      <c r="D180" s="49"/>
      <c r="E180" s="49"/>
      <c r="F180" s="49"/>
      <c r="G180" s="123"/>
      <c r="H180" s="49" t="s">
        <v>12</v>
      </c>
      <c r="I180" s="50" t="e">
        <f>#REF!+#REF!</f>
        <v>#REF!</v>
      </c>
      <c r="J180" s="50">
        <f t="shared" si="70"/>
        <v>72110</v>
      </c>
      <c r="K180" s="50">
        <f t="shared" si="70"/>
        <v>72110</v>
      </c>
      <c r="L180" s="50">
        <f t="shared" si="70"/>
        <v>59869.38</v>
      </c>
      <c r="M180" s="50">
        <f t="shared" si="70"/>
        <v>168339</v>
      </c>
      <c r="N180" s="50" t="e">
        <f>#REF!+#REF!</f>
        <v>#REF!</v>
      </c>
      <c r="O180" s="50">
        <f t="shared" si="71"/>
        <v>269200</v>
      </c>
      <c r="P180" s="50">
        <f t="shared" si="71"/>
        <v>138910</v>
      </c>
      <c r="Q180" s="50">
        <f t="shared" si="71"/>
        <v>266121</v>
      </c>
      <c r="R180" s="50">
        <f t="shared" si="71"/>
        <v>965628</v>
      </c>
      <c r="T180" s="50" t="e">
        <f t="shared" si="61"/>
        <v>#REF!</v>
      </c>
    </row>
    <row r="181" spans="2:20" hidden="1" x14ac:dyDescent="0.25">
      <c r="B181" s="97">
        <f t="shared" si="62"/>
        <v>28</v>
      </c>
      <c r="C181" s="51"/>
      <c r="D181" s="51"/>
      <c r="E181" s="51" t="s">
        <v>60</v>
      </c>
      <c r="F181" s="51"/>
      <c r="G181" s="124"/>
      <c r="H181" s="51"/>
      <c r="I181" s="52" t="e">
        <f>#REF!+#REF!</f>
        <v>#REF!</v>
      </c>
      <c r="J181" s="52">
        <f t="shared" ref="J181:R181" si="72">J185+J182</f>
        <v>72110</v>
      </c>
      <c r="K181" s="52">
        <f t="shared" si="72"/>
        <v>72110</v>
      </c>
      <c r="L181" s="52">
        <f t="shared" si="72"/>
        <v>59869.38</v>
      </c>
      <c r="M181" s="52">
        <f t="shared" si="72"/>
        <v>168339</v>
      </c>
      <c r="N181" s="52" t="e">
        <f>#REF!+#REF!</f>
        <v>#REF!</v>
      </c>
      <c r="O181" s="52">
        <f t="shared" si="72"/>
        <v>269200</v>
      </c>
      <c r="P181" s="52">
        <f t="shared" si="72"/>
        <v>138910</v>
      </c>
      <c r="Q181" s="52">
        <f t="shared" si="72"/>
        <v>266121</v>
      </c>
      <c r="R181" s="52">
        <f t="shared" si="72"/>
        <v>965628</v>
      </c>
      <c r="T181" s="52" t="e">
        <f t="shared" si="61"/>
        <v>#REF!</v>
      </c>
    </row>
    <row r="182" spans="2:20" x14ac:dyDescent="0.25">
      <c r="B182" s="97">
        <f t="shared" si="62"/>
        <v>29</v>
      </c>
      <c r="C182" s="29"/>
      <c r="D182" s="29"/>
      <c r="E182" s="29"/>
      <c r="F182" s="53" t="s">
        <v>302</v>
      </c>
      <c r="G182" s="125">
        <v>630</v>
      </c>
      <c r="H182" s="29" t="s">
        <v>303</v>
      </c>
      <c r="I182" s="15">
        <f>SUM(I183:I184)</f>
        <v>71060</v>
      </c>
      <c r="J182" s="15">
        <f t="shared" ref="J182:M182" si="73">J184+J183</f>
        <v>72110</v>
      </c>
      <c r="K182" s="15">
        <f t="shared" si="73"/>
        <v>72110</v>
      </c>
      <c r="L182" s="15">
        <f t="shared" si="73"/>
        <v>59869.38</v>
      </c>
      <c r="M182" s="15">
        <f t="shared" si="73"/>
        <v>168339</v>
      </c>
      <c r="N182" s="15"/>
      <c r="O182" s="15"/>
      <c r="P182" s="15"/>
      <c r="Q182" s="15"/>
      <c r="R182" s="15"/>
      <c r="T182" s="15">
        <f t="shared" si="61"/>
        <v>71060</v>
      </c>
    </row>
    <row r="183" spans="2:20" x14ac:dyDescent="0.25">
      <c r="B183" s="97">
        <f t="shared" si="62"/>
        <v>30</v>
      </c>
      <c r="C183" s="9"/>
      <c r="D183" s="9"/>
      <c r="E183" s="9"/>
      <c r="F183" s="54" t="s">
        <v>302</v>
      </c>
      <c r="G183" s="126">
        <v>636</v>
      </c>
      <c r="H183" s="9" t="s">
        <v>307</v>
      </c>
      <c r="I183" s="10">
        <v>57200</v>
      </c>
      <c r="J183" s="10">
        <v>62250</v>
      </c>
      <c r="K183" s="10">
        <v>62250</v>
      </c>
      <c r="L183" s="10">
        <v>52201.75</v>
      </c>
      <c r="M183" s="10">
        <v>59628</v>
      </c>
      <c r="N183" s="10"/>
      <c r="O183" s="10"/>
      <c r="P183" s="10"/>
      <c r="Q183" s="10"/>
      <c r="R183" s="10"/>
      <c r="T183" s="10">
        <f t="shared" si="61"/>
        <v>57200</v>
      </c>
    </row>
    <row r="184" spans="2:20" x14ac:dyDescent="0.25">
      <c r="B184" s="97">
        <f t="shared" si="62"/>
        <v>31</v>
      </c>
      <c r="C184" s="9"/>
      <c r="D184" s="9"/>
      <c r="E184" s="9"/>
      <c r="F184" s="54" t="s">
        <v>302</v>
      </c>
      <c r="G184" s="126">
        <v>637</v>
      </c>
      <c r="H184" s="9" t="s">
        <v>308</v>
      </c>
      <c r="I184" s="10">
        <v>13860</v>
      </c>
      <c r="J184" s="10">
        <v>9860</v>
      </c>
      <c r="K184" s="10">
        <v>9860</v>
      </c>
      <c r="L184" s="10">
        <v>7667.63</v>
      </c>
      <c r="M184" s="10">
        <f>6752+101959</f>
        <v>108711</v>
      </c>
      <c r="N184" s="10"/>
      <c r="O184" s="10"/>
      <c r="P184" s="10"/>
      <c r="Q184" s="10"/>
      <c r="R184" s="10"/>
      <c r="T184" s="10">
        <f t="shared" si="61"/>
        <v>13860</v>
      </c>
    </row>
    <row r="185" spans="2:20" x14ac:dyDescent="0.25">
      <c r="B185" s="97">
        <f t="shared" si="62"/>
        <v>32</v>
      </c>
      <c r="C185" s="29"/>
      <c r="D185" s="29"/>
      <c r="E185" s="29"/>
      <c r="F185" s="53" t="s">
        <v>302</v>
      </c>
      <c r="G185" s="125">
        <v>710</v>
      </c>
      <c r="H185" s="29" t="s">
        <v>321</v>
      </c>
      <c r="I185" s="15"/>
      <c r="J185" s="15"/>
      <c r="K185" s="15"/>
      <c r="L185" s="15"/>
      <c r="M185" s="15"/>
      <c r="N185" s="15">
        <f>N186</f>
        <v>297430</v>
      </c>
      <c r="O185" s="15">
        <f t="shared" ref="O185:R186" si="74">O186</f>
        <v>269200</v>
      </c>
      <c r="P185" s="15">
        <f t="shared" si="74"/>
        <v>138910</v>
      </c>
      <c r="Q185" s="15">
        <f t="shared" si="74"/>
        <v>266121</v>
      </c>
      <c r="R185" s="15">
        <f>R186+R188</f>
        <v>965628</v>
      </c>
      <c r="T185" s="15">
        <f t="shared" si="61"/>
        <v>297430</v>
      </c>
    </row>
    <row r="186" spans="2:20" x14ac:dyDescent="0.25">
      <c r="B186" s="97">
        <f t="shared" si="62"/>
        <v>33</v>
      </c>
      <c r="C186" s="9"/>
      <c r="D186" s="9"/>
      <c r="E186" s="9"/>
      <c r="F186" s="54" t="s">
        <v>302</v>
      </c>
      <c r="G186" s="126">
        <v>711</v>
      </c>
      <c r="H186" s="9" t="s">
        <v>322</v>
      </c>
      <c r="I186" s="10"/>
      <c r="J186" s="10"/>
      <c r="K186" s="10"/>
      <c r="L186" s="10"/>
      <c r="M186" s="10"/>
      <c r="N186" s="10">
        <f>N187</f>
        <v>297430</v>
      </c>
      <c r="O186" s="10">
        <f t="shared" si="74"/>
        <v>269200</v>
      </c>
      <c r="P186" s="10">
        <f t="shared" si="74"/>
        <v>138910</v>
      </c>
      <c r="Q186" s="10">
        <f t="shared" si="74"/>
        <v>266121</v>
      </c>
      <c r="R186" s="10">
        <f t="shared" si="74"/>
        <v>58375</v>
      </c>
      <c r="T186" s="10">
        <f t="shared" si="61"/>
        <v>297430</v>
      </c>
    </row>
    <row r="187" spans="2:20" x14ac:dyDescent="0.25">
      <c r="B187" s="97">
        <f t="shared" si="62"/>
        <v>34</v>
      </c>
      <c r="C187" s="12"/>
      <c r="D187" s="12"/>
      <c r="E187" s="12"/>
      <c r="F187" s="12"/>
      <c r="G187" s="127"/>
      <c r="H187" s="12" t="s">
        <v>691</v>
      </c>
      <c r="I187" s="13"/>
      <c r="J187" s="13"/>
      <c r="K187" s="13"/>
      <c r="L187" s="13"/>
      <c r="M187" s="13"/>
      <c r="N187" s="13">
        <f>525000-300000+72430</f>
        <v>297430</v>
      </c>
      <c r="O187" s="13">
        <v>269200</v>
      </c>
      <c r="P187" s="13">
        <f>180110-41200</f>
        <v>138910</v>
      </c>
      <c r="Q187" s="13">
        <v>266121</v>
      </c>
      <c r="R187" s="13">
        <v>58375</v>
      </c>
      <c r="T187" s="13">
        <f t="shared" si="61"/>
        <v>297430</v>
      </c>
    </row>
    <row r="188" spans="2:20" x14ac:dyDescent="0.25">
      <c r="B188" s="97">
        <f t="shared" si="62"/>
        <v>35</v>
      </c>
      <c r="C188" s="12"/>
      <c r="D188" s="57"/>
      <c r="E188" s="58"/>
      <c r="F188" s="12"/>
      <c r="G188" s="127">
        <v>719</v>
      </c>
      <c r="H188" s="59" t="s">
        <v>353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>
        <f>681760+225493</f>
        <v>907253</v>
      </c>
      <c r="T188" s="13">
        <f t="shared" si="61"/>
        <v>0</v>
      </c>
    </row>
    <row r="189" spans="2:20" ht="15.75" x14ac:dyDescent="0.25">
      <c r="B189" s="97">
        <f t="shared" si="62"/>
        <v>36</v>
      </c>
      <c r="C189" s="45">
        <v>3</v>
      </c>
      <c r="D189" s="293" t="s">
        <v>354</v>
      </c>
      <c r="E189" s="294"/>
      <c r="F189" s="294"/>
      <c r="G189" s="294"/>
      <c r="H189" s="295"/>
      <c r="I189" s="46">
        <f>I193</f>
        <v>16000</v>
      </c>
      <c r="J189" s="46">
        <f t="shared" ref="J189:M189" si="75">J193</f>
        <v>7100</v>
      </c>
      <c r="K189" s="46">
        <f t="shared" si="75"/>
        <v>7100</v>
      </c>
      <c r="L189" s="46">
        <f t="shared" si="75"/>
        <v>7563.44</v>
      </c>
      <c r="M189" s="46">
        <f t="shared" si="75"/>
        <v>5185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T189" s="46">
        <f t="shared" si="61"/>
        <v>16000</v>
      </c>
    </row>
    <row r="190" spans="2:20" hidden="1" x14ac:dyDescent="0.25">
      <c r="B190" s="97">
        <f t="shared" si="62"/>
        <v>37</v>
      </c>
      <c r="C190" s="47"/>
      <c r="D190" s="47" t="s">
        <v>60</v>
      </c>
      <c r="E190" s="296"/>
      <c r="F190" s="294"/>
      <c r="G190" s="294"/>
      <c r="H190" s="295"/>
      <c r="I190" s="48" t="e">
        <f>#REF!+#REF!</f>
        <v>#REF!</v>
      </c>
      <c r="J190" s="48" t="e">
        <f t="shared" ref="J190:M191" si="76">J191</f>
        <v>#REF!</v>
      </c>
      <c r="K190" s="48" t="e">
        <f t="shared" si="76"/>
        <v>#REF!</v>
      </c>
      <c r="L190" s="48" t="e">
        <f t="shared" si="76"/>
        <v>#REF!</v>
      </c>
      <c r="M190" s="48" t="e">
        <f t="shared" si="76"/>
        <v>#REF!</v>
      </c>
      <c r="N190" s="48" t="e">
        <f>#REF!+#REF!</f>
        <v>#REF!</v>
      </c>
      <c r="O190" s="48" t="e">
        <f t="shared" ref="O190:R191" si="77">O191</f>
        <v>#REF!</v>
      </c>
      <c r="P190" s="48" t="e">
        <f t="shared" si="77"/>
        <v>#REF!</v>
      </c>
      <c r="Q190" s="48" t="e">
        <f t="shared" si="77"/>
        <v>#REF!</v>
      </c>
      <c r="R190" s="48" t="e">
        <f t="shared" si="77"/>
        <v>#REF!</v>
      </c>
      <c r="T190" s="48" t="e">
        <f t="shared" si="61"/>
        <v>#REF!</v>
      </c>
    </row>
    <row r="191" spans="2:20" hidden="1" x14ac:dyDescent="0.25">
      <c r="B191" s="97">
        <f t="shared" si="62"/>
        <v>38</v>
      </c>
      <c r="C191" s="49"/>
      <c r="D191" s="49"/>
      <c r="E191" s="49"/>
      <c r="F191" s="49"/>
      <c r="G191" s="123"/>
      <c r="H191" s="49" t="s">
        <v>12</v>
      </c>
      <c r="I191" s="50" t="e">
        <f>#REF!+#REF!</f>
        <v>#REF!</v>
      </c>
      <c r="J191" s="50" t="e">
        <f t="shared" si="76"/>
        <v>#REF!</v>
      </c>
      <c r="K191" s="50" t="e">
        <f t="shared" si="76"/>
        <v>#REF!</v>
      </c>
      <c r="L191" s="50" t="e">
        <f t="shared" si="76"/>
        <v>#REF!</v>
      </c>
      <c r="M191" s="50" t="e">
        <f t="shared" si="76"/>
        <v>#REF!</v>
      </c>
      <c r="N191" s="50" t="e">
        <f>#REF!+#REF!</f>
        <v>#REF!</v>
      </c>
      <c r="O191" s="50" t="e">
        <f t="shared" si="77"/>
        <v>#REF!</v>
      </c>
      <c r="P191" s="50" t="e">
        <f t="shared" si="77"/>
        <v>#REF!</v>
      </c>
      <c r="Q191" s="50" t="e">
        <f t="shared" si="77"/>
        <v>#REF!</v>
      </c>
      <c r="R191" s="50" t="e">
        <f t="shared" si="77"/>
        <v>#REF!</v>
      </c>
      <c r="T191" s="50" t="e">
        <f t="shared" si="61"/>
        <v>#REF!</v>
      </c>
    </row>
    <row r="192" spans="2:20" hidden="1" x14ac:dyDescent="0.25">
      <c r="B192" s="97">
        <f t="shared" si="62"/>
        <v>39</v>
      </c>
      <c r="C192" s="51"/>
      <c r="D192" s="51"/>
      <c r="E192" s="51" t="s">
        <v>60</v>
      </c>
      <c r="F192" s="51"/>
      <c r="G192" s="124"/>
      <c r="H192" s="51"/>
      <c r="I192" s="52" t="e">
        <f>#REF!+#REF!</f>
        <v>#REF!</v>
      </c>
      <c r="J192" s="52" t="e">
        <f>J193+#REF!</f>
        <v>#REF!</v>
      </c>
      <c r="K192" s="52" t="e">
        <f>K193+#REF!</f>
        <v>#REF!</v>
      </c>
      <c r="L192" s="52" t="e">
        <f>L193+#REF!</f>
        <v>#REF!</v>
      </c>
      <c r="M192" s="52" t="e">
        <f>M193+#REF!</f>
        <v>#REF!</v>
      </c>
      <c r="N192" s="52" t="e">
        <f>#REF!+#REF!</f>
        <v>#REF!</v>
      </c>
      <c r="O192" s="52" t="e">
        <f>O193+#REF!</f>
        <v>#REF!</v>
      </c>
      <c r="P192" s="52" t="e">
        <f>P193+#REF!</f>
        <v>#REF!</v>
      </c>
      <c r="Q192" s="52" t="e">
        <f>Q193+#REF!</f>
        <v>#REF!</v>
      </c>
      <c r="R192" s="52" t="e">
        <f>R193+#REF!</f>
        <v>#REF!</v>
      </c>
      <c r="T192" s="52" t="e">
        <f t="shared" si="61"/>
        <v>#REF!</v>
      </c>
    </row>
    <row r="193" spans="2:20" x14ac:dyDescent="0.25">
      <c r="B193" s="97">
        <f t="shared" si="62"/>
        <v>40</v>
      </c>
      <c r="C193" s="29"/>
      <c r="D193" s="29"/>
      <c r="E193" s="29"/>
      <c r="F193" s="53" t="s">
        <v>302</v>
      </c>
      <c r="G193" s="125">
        <v>630</v>
      </c>
      <c r="H193" s="29" t="s">
        <v>303</v>
      </c>
      <c r="I193" s="15">
        <f>I194+I195</f>
        <v>16000</v>
      </c>
      <c r="J193" s="15">
        <f t="shared" ref="J193:M193" si="78">J195+J194</f>
        <v>7100</v>
      </c>
      <c r="K193" s="15">
        <f t="shared" si="78"/>
        <v>7100</v>
      </c>
      <c r="L193" s="15">
        <f t="shared" si="78"/>
        <v>7563.44</v>
      </c>
      <c r="M193" s="15">
        <f t="shared" si="78"/>
        <v>5185</v>
      </c>
      <c r="N193" s="15"/>
      <c r="O193" s="15"/>
      <c r="P193" s="15"/>
      <c r="Q193" s="15"/>
      <c r="R193" s="15"/>
      <c r="T193" s="15">
        <f t="shared" si="61"/>
        <v>16000</v>
      </c>
    </row>
    <row r="194" spans="2:20" x14ac:dyDescent="0.25">
      <c r="B194" s="97">
        <f t="shared" si="62"/>
        <v>41</v>
      </c>
      <c r="C194" s="9"/>
      <c r="D194" s="9"/>
      <c r="E194" s="9"/>
      <c r="F194" s="54" t="s">
        <v>302</v>
      </c>
      <c r="G194" s="126">
        <v>633</v>
      </c>
      <c r="H194" s="9" t="s">
        <v>305</v>
      </c>
      <c r="I194" s="10">
        <v>1000</v>
      </c>
      <c r="J194" s="10">
        <v>500</v>
      </c>
      <c r="K194" s="10">
        <v>500</v>
      </c>
      <c r="L194" s="10">
        <v>1482</v>
      </c>
      <c r="M194" s="10">
        <v>132</v>
      </c>
      <c r="N194" s="10"/>
      <c r="O194" s="10"/>
      <c r="P194" s="10"/>
      <c r="Q194" s="10"/>
      <c r="R194" s="10"/>
      <c r="T194" s="10">
        <f t="shared" si="61"/>
        <v>1000</v>
      </c>
    </row>
    <row r="195" spans="2:20" x14ac:dyDescent="0.25">
      <c r="B195" s="97">
        <f t="shared" si="62"/>
        <v>42</v>
      </c>
      <c r="C195" s="9"/>
      <c r="D195" s="9"/>
      <c r="E195" s="9"/>
      <c r="F195" s="54" t="s">
        <v>302</v>
      </c>
      <c r="G195" s="126">
        <v>637</v>
      </c>
      <c r="H195" s="9" t="s">
        <v>308</v>
      </c>
      <c r="I195" s="10">
        <f>8000+7000</f>
        <v>15000</v>
      </c>
      <c r="J195" s="10">
        <v>6600</v>
      </c>
      <c r="K195" s="10">
        <v>6600</v>
      </c>
      <c r="L195" s="10">
        <v>6081.44</v>
      </c>
      <c r="M195" s="10">
        <v>5053</v>
      </c>
      <c r="N195" s="10"/>
      <c r="O195" s="10"/>
      <c r="P195" s="10"/>
      <c r="Q195" s="10"/>
      <c r="R195" s="10"/>
      <c r="T195" s="10">
        <f t="shared" si="61"/>
        <v>15000</v>
      </c>
    </row>
    <row r="196" spans="2:20" ht="16.5" customHeight="1" x14ac:dyDescent="0.25">
      <c r="B196" s="97">
        <f t="shared" si="62"/>
        <v>43</v>
      </c>
      <c r="C196" s="45">
        <v>4</v>
      </c>
      <c r="D196" s="293" t="s">
        <v>73</v>
      </c>
      <c r="E196" s="294"/>
      <c r="F196" s="294"/>
      <c r="G196" s="294"/>
      <c r="H196" s="295"/>
      <c r="I196" s="46">
        <f>I200+I219</f>
        <v>257765</v>
      </c>
      <c r="J196" s="46">
        <f t="shared" ref="J196:R196" si="79">J197</f>
        <v>282910</v>
      </c>
      <c r="K196" s="46">
        <f t="shared" si="79"/>
        <v>290710</v>
      </c>
      <c r="L196" s="46">
        <f t="shared" si="79"/>
        <v>205812</v>
      </c>
      <c r="M196" s="46">
        <f t="shared" si="79"/>
        <v>231155</v>
      </c>
      <c r="N196" s="46">
        <f>N206+N219</f>
        <v>267810</v>
      </c>
      <c r="O196" s="46">
        <f t="shared" si="79"/>
        <v>137810</v>
      </c>
      <c r="P196" s="46">
        <f t="shared" si="79"/>
        <v>205510</v>
      </c>
      <c r="Q196" s="46">
        <f t="shared" si="79"/>
        <v>20154</v>
      </c>
      <c r="R196" s="46">
        <f t="shared" si="79"/>
        <v>75892</v>
      </c>
      <c r="T196" s="46">
        <f t="shared" si="61"/>
        <v>525575</v>
      </c>
    </row>
    <row r="197" spans="2:20" ht="9.75" hidden="1" customHeight="1" x14ac:dyDescent="0.25">
      <c r="B197" s="97">
        <f t="shared" si="62"/>
        <v>44</v>
      </c>
      <c r="C197" s="47"/>
      <c r="D197" s="47" t="s">
        <v>60</v>
      </c>
      <c r="E197" s="296"/>
      <c r="F197" s="294"/>
      <c r="G197" s="294"/>
      <c r="H197" s="295"/>
      <c r="I197" s="48" t="e">
        <f>#REF!+#REF!</f>
        <v>#REF!</v>
      </c>
      <c r="J197" s="48">
        <f>J219+J198</f>
        <v>282910</v>
      </c>
      <c r="K197" s="48">
        <f>K219+K198</f>
        <v>290710</v>
      </c>
      <c r="L197" s="48">
        <f>L219+L198</f>
        <v>205812</v>
      </c>
      <c r="M197" s="48">
        <f>M219+M198</f>
        <v>231155</v>
      </c>
      <c r="N197" s="48" t="e">
        <f>#REF!+#REF!</f>
        <v>#REF!</v>
      </c>
      <c r="O197" s="48">
        <f>O219+O198</f>
        <v>137810</v>
      </c>
      <c r="P197" s="48">
        <f>P219+P198</f>
        <v>205510</v>
      </c>
      <c r="Q197" s="48">
        <f>Q219+Q198</f>
        <v>20154</v>
      </c>
      <c r="R197" s="48">
        <f>R219+R198</f>
        <v>75892</v>
      </c>
      <c r="T197" s="48" t="e">
        <f t="shared" si="61"/>
        <v>#REF!</v>
      </c>
    </row>
    <row r="198" spans="2:20" ht="3" hidden="1" customHeight="1" x14ac:dyDescent="0.25">
      <c r="B198" s="97">
        <f t="shared" si="62"/>
        <v>45</v>
      </c>
      <c r="C198" s="49"/>
      <c r="D198" s="49"/>
      <c r="E198" s="49"/>
      <c r="F198" s="49"/>
      <c r="G198" s="123"/>
      <c r="H198" s="49" t="s">
        <v>12</v>
      </c>
      <c r="I198" s="50" t="e">
        <f>#REF!+#REF!</f>
        <v>#REF!</v>
      </c>
      <c r="J198" s="50">
        <f t="shared" ref="J198:R198" si="80">J199</f>
        <v>29570</v>
      </c>
      <c r="K198" s="50">
        <f t="shared" si="80"/>
        <v>43070</v>
      </c>
      <c r="L198" s="50">
        <f t="shared" si="80"/>
        <v>1697</v>
      </c>
      <c r="M198" s="50">
        <f t="shared" si="80"/>
        <v>6964</v>
      </c>
      <c r="N198" s="50" t="e">
        <f>#REF!+#REF!</f>
        <v>#REF!</v>
      </c>
      <c r="O198" s="50">
        <f t="shared" si="80"/>
        <v>137810</v>
      </c>
      <c r="P198" s="50">
        <f t="shared" si="80"/>
        <v>205510</v>
      </c>
      <c r="Q198" s="50">
        <f t="shared" si="80"/>
        <v>20154</v>
      </c>
      <c r="R198" s="50">
        <f t="shared" si="80"/>
        <v>75892</v>
      </c>
      <c r="T198" s="50" t="e">
        <f t="shared" si="61"/>
        <v>#REF!</v>
      </c>
    </row>
    <row r="199" spans="2:20" ht="16.5" hidden="1" customHeight="1" x14ac:dyDescent="0.25">
      <c r="B199" s="97">
        <f t="shared" si="62"/>
        <v>46</v>
      </c>
      <c r="C199" s="51"/>
      <c r="D199" s="51"/>
      <c r="E199" s="51" t="s">
        <v>60</v>
      </c>
      <c r="F199" s="51"/>
      <c r="G199" s="124"/>
      <c r="H199" s="51" t="s">
        <v>355</v>
      </c>
      <c r="I199" s="52" t="e">
        <f>#REF!+#REF!</f>
        <v>#REF!</v>
      </c>
      <c r="J199" s="52">
        <f>J206+J200</f>
        <v>29570</v>
      </c>
      <c r="K199" s="52">
        <f>K206+K200</f>
        <v>43070</v>
      </c>
      <c r="L199" s="52">
        <f>L206+L200</f>
        <v>1697</v>
      </c>
      <c r="M199" s="52">
        <f>M206+M200</f>
        <v>6964</v>
      </c>
      <c r="N199" s="52" t="e">
        <f>#REF!+#REF!</f>
        <v>#REF!</v>
      </c>
      <c r="O199" s="52">
        <f>O206+O200</f>
        <v>137810</v>
      </c>
      <c r="P199" s="52">
        <f>P206+P200</f>
        <v>205510</v>
      </c>
      <c r="Q199" s="52">
        <f>Q206+Q200</f>
        <v>20154</v>
      </c>
      <c r="R199" s="52">
        <f>R206+R200</f>
        <v>75892</v>
      </c>
      <c r="T199" s="52" t="e">
        <f t="shared" si="61"/>
        <v>#REF!</v>
      </c>
    </row>
    <row r="200" spans="2:20" x14ac:dyDescent="0.25">
      <c r="B200" s="97">
        <f t="shared" si="62"/>
        <v>47</v>
      </c>
      <c r="C200" s="29"/>
      <c r="D200" s="29"/>
      <c r="E200" s="29"/>
      <c r="F200" s="53" t="s">
        <v>302</v>
      </c>
      <c r="G200" s="125">
        <v>630</v>
      </c>
      <c r="H200" s="29" t="s">
        <v>303</v>
      </c>
      <c r="I200" s="15">
        <f>SUM(I201:I204)</f>
        <v>15000</v>
      </c>
      <c r="J200" s="15">
        <f>J204+J202+J201</f>
        <v>29570</v>
      </c>
      <c r="K200" s="15">
        <f>K204+K202+K201+K205</f>
        <v>43070</v>
      </c>
      <c r="L200" s="15">
        <f>L204+L202+L201</f>
        <v>1697</v>
      </c>
      <c r="M200" s="15">
        <f>M204+M202+M201</f>
        <v>6964</v>
      </c>
      <c r="N200" s="15"/>
      <c r="O200" s="15"/>
      <c r="P200" s="15"/>
      <c r="Q200" s="15"/>
      <c r="R200" s="15"/>
      <c r="T200" s="15">
        <f t="shared" si="61"/>
        <v>15000</v>
      </c>
    </row>
    <row r="201" spans="2:20" x14ac:dyDescent="0.25">
      <c r="B201" s="97">
        <f t="shared" si="62"/>
        <v>48</v>
      </c>
      <c r="C201" s="9"/>
      <c r="D201" s="9"/>
      <c r="E201" s="9"/>
      <c r="F201" s="54" t="s">
        <v>302</v>
      </c>
      <c r="G201" s="126">
        <v>632</v>
      </c>
      <c r="H201" s="9" t="s">
        <v>314</v>
      </c>
      <c r="I201" s="10">
        <v>0</v>
      </c>
      <c r="J201" s="10">
        <v>0</v>
      </c>
      <c r="K201" s="10"/>
      <c r="L201" s="10"/>
      <c r="M201" s="10">
        <v>0</v>
      </c>
      <c r="N201" s="10"/>
      <c r="O201" s="10"/>
      <c r="P201" s="10"/>
      <c r="Q201" s="10"/>
      <c r="R201" s="10"/>
      <c r="T201" s="10">
        <f t="shared" si="61"/>
        <v>0</v>
      </c>
    </row>
    <row r="202" spans="2:20" x14ac:dyDescent="0.25">
      <c r="B202" s="97">
        <f t="shared" si="62"/>
        <v>49</v>
      </c>
      <c r="C202" s="9"/>
      <c r="D202" s="9"/>
      <c r="E202" s="9"/>
      <c r="F202" s="54" t="s">
        <v>302</v>
      </c>
      <c r="G202" s="126">
        <v>635</v>
      </c>
      <c r="H202" s="9" t="s">
        <v>320</v>
      </c>
      <c r="I202" s="10">
        <v>0</v>
      </c>
      <c r="J202" s="10">
        <v>12000</v>
      </c>
      <c r="K202" s="10">
        <v>8000</v>
      </c>
      <c r="L202" s="10">
        <v>1697</v>
      </c>
      <c r="M202" s="10">
        <v>6964</v>
      </c>
      <c r="N202" s="10"/>
      <c r="O202" s="10"/>
      <c r="P202" s="10"/>
      <c r="Q202" s="10"/>
      <c r="R202" s="10"/>
      <c r="T202" s="10">
        <f t="shared" si="61"/>
        <v>0</v>
      </c>
    </row>
    <row r="203" spans="2:20" x14ac:dyDescent="0.25">
      <c r="B203" s="97">
        <f t="shared" si="62"/>
        <v>50</v>
      </c>
      <c r="C203" s="9"/>
      <c r="D203" s="9"/>
      <c r="E203" s="9"/>
      <c r="F203" s="54" t="s">
        <v>302</v>
      </c>
      <c r="G203" s="126">
        <v>635</v>
      </c>
      <c r="H203" s="158" t="s">
        <v>814</v>
      </c>
      <c r="I203" s="10">
        <v>15000</v>
      </c>
      <c r="J203" s="10"/>
      <c r="K203" s="10"/>
      <c r="L203" s="10"/>
      <c r="M203" s="10"/>
      <c r="N203" s="10"/>
      <c r="O203" s="10"/>
      <c r="P203" s="10"/>
      <c r="Q203" s="10"/>
      <c r="R203" s="10"/>
      <c r="T203" s="10">
        <f t="shared" si="61"/>
        <v>15000</v>
      </c>
    </row>
    <row r="204" spans="2:20" x14ac:dyDescent="0.25">
      <c r="B204" s="97">
        <f t="shared" si="62"/>
        <v>51</v>
      </c>
      <c r="C204" s="9"/>
      <c r="D204" s="9"/>
      <c r="E204" s="9"/>
      <c r="F204" s="54" t="s">
        <v>302</v>
      </c>
      <c r="G204" s="126">
        <v>637</v>
      </c>
      <c r="H204" s="9" t="s">
        <v>308</v>
      </c>
      <c r="I204" s="10">
        <v>0</v>
      </c>
      <c r="J204" s="10">
        <v>17570</v>
      </c>
      <c r="K204" s="10">
        <f>8570+15000+1500</f>
        <v>25070</v>
      </c>
      <c r="L204" s="10">
        <v>0</v>
      </c>
      <c r="M204" s="10">
        <v>0</v>
      </c>
      <c r="N204" s="10"/>
      <c r="O204" s="10"/>
      <c r="P204" s="10"/>
      <c r="Q204" s="10"/>
      <c r="R204" s="10"/>
      <c r="T204" s="10">
        <f t="shared" si="61"/>
        <v>0</v>
      </c>
    </row>
    <row r="205" spans="2:20" x14ac:dyDescent="0.25">
      <c r="B205" s="97">
        <f t="shared" si="62"/>
        <v>52</v>
      </c>
      <c r="C205" s="9"/>
      <c r="D205" s="9"/>
      <c r="E205" s="9"/>
      <c r="F205" s="54" t="s">
        <v>357</v>
      </c>
      <c r="G205" s="126">
        <v>637</v>
      </c>
      <c r="H205" s="9" t="s">
        <v>894</v>
      </c>
      <c r="I205" s="10"/>
      <c r="J205" s="10"/>
      <c r="K205" s="10">
        <v>10000</v>
      </c>
      <c r="L205" s="10"/>
      <c r="M205" s="10"/>
      <c r="N205" s="10"/>
      <c r="O205" s="10"/>
      <c r="P205" s="10"/>
      <c r="Q205" s="10"/>
      <c r="R205" s="10"/>
      <c r="T205" s="10">
        <f t="shared" si="61"/>
        <v>0</v>
      </c>
    </row>
    <row r="206" spans="2:20" x14ac:dyDescent="0.25">
      <c r="B206" s="97">
        <f t="shared" si="62"/>
        <v>53</v>
      </c>
      <c r="C206" s="29"/>
      <c r="D206" s="29"/>
      <c r="E206" s="29"/>
      <c r="F206" s="53" t="s">
        <v>302</v>
      </c>
      <c r="G206" s="125">
        <v>710</v>
      </c>
      <c r="H206" s="29" t="s">
        <v>321</v>
      </c>
      <c r="I206" s="15"/>
      <c r="J206" s="15"/>
      <c r="K206" s="15"/>
      <c r="L206" s="15"/>
      <c r="M206" s="15"/>
      <c r="N206" s="15">
        <f>N207+N212</f>
        <v>257810</v>
      </c>
      <c r="O206" s="15">
        <f t="shared" ref="O206:R206" si="81">O212+O207</f>
        <v>137810</v>
      </c>
      <c r="P206" s="15">
        <f t="shared" si="81"/>
        <v>205510</v>
      </c>
      <c r="Q206" s="15">
        <f t="shared" si="81"/>
        <v>20154</v>
      </c>
      <c r="R206" s="15">
        <f t="shared" si="81"/>
        <v>75892</v>
      </c>
      <c r="T206" s="15">
        <f t="shared" si="61"/>
        <v>257810</v>
      </c>
    </row>
    <row r="207" spans="2:20" x14ac:dyDescent="0.25">
      <c r="B207" s="97">
        <f t="shared" si="62"/>
        <v>54</v>
      </c>
      <c r="C207" s="9"/>
      <c r="D207" s="9"/>
      <c r="E207" s="9"/>
      <c r="F207" s="54" t="s">
        <v>302</v>
      </c>
      <c r="G207" s="126">
        <v>716</v>
      </c>
      <c r="H207" s="9" t="s">
        <v>323</v>
      </c>
      <c r="I207" s="10"/>
      <c r="J207" s="10"/>
      <c r="K207" s="10"/>
      <c r="L207" s="10"/>
      <c r="M207" s="10"/>
      <c r="N207" s="10">
        <f>N211+N210</f>
        <v>20000</v>
      </c>
      <c r="O207" s="10"/>
      <c r="P207" s="10">
        <f>P209+P208+P210+P211</f>
        <v>25700</v>
      </c>
      <c r="Q207" s="10">
        <f t="shared" ref="Q207" si="82">Q209+Q208</f>
        <v>5898</v>
      </c>
      <c r="R207" s="10"/>
      <c r="T207" s="10">
        <f t="shared" si="61"/>
        <v>20000</v>
      </c>
    </row>
    <row r="208" spans="2:20" x14ac:dyDescent="0.25">
      <c r="B208" s="97">
        <f t="shared" si="62"/>
        <v>55</v>
      </c>
      <c r="C208" s="12"/>
      <c r="D208" s="12"/>
      <c r="E208" s="12"/>
      <c r="F208" s="12"/>
      <c r="G208" s="127"/>
      <c r="H208" s="12" t="s">
        <v>821</v>
      </c>
      <c r="I208" s="13"/>
      <c r="J208" s="13"/>
      <c r="K208" s="13"/>
      <c r="L208" s="13"/>
      <c r="M208" s="13"/>
      <c r="N208" s="13"/>
      <c r="O208" s="13"/>
      <c r="P208" s="13">
        <v>1200</v>
      </c>
      <c r="Q208" s="13">
        <v>5898</v>
      </c>
      <c r="R208" s="13"/>
      <c r="T208" s="13">
        <f t="shared" si="61"/>
        <v>0</v>
      </c>
    </row>
    <row r="209" spans="2:20" x14ac:dyDescent="0.25">
      <c r="B209" s="97">
        <f t="shared" si="62"/>
        <v>56</v>
      </c>
      <c r="C209" s="12"/>
      <c r="D209" s="12"/>
      <c r="E209" s="12"/>
      <c r="F209" s="12"/>
      <c r="G209" s="127"/>
      <c r="H209" s="12" t="s">
        <v>356</v>
      </c>
      <c r="I209" s="13"/>
      <c r="J209" s="13"/>
      <c r="K209" s="13"/>
      <c r="L209" s="13"/>
      <c r="M209" s="13"/>
      <c r="N209" s="13"/>
      <c r="O209" s="13"/>
      <c r="P209" s="13">
        <v>4500</v>
      </c>
      <c r="Q209" s="13"/>
      <c r="R209" s="13"/>
      <c r="T209" s="13">
        <f t="shared" si="61"/>
        <v>0</v>
      </c>
    </row>
    <row r="210" spans="2:20" x14ac:dyDescent="0.25">
      <c r="B210" s="97">
        <f t="shared" si="62"/>
        <v>57</v>
      </c>
      <c r="C210" s="12"/>
      <c r="D210" s="12"/>
      <c r="E210" s="12"/>
      <c r="F210" s="12"/>
      <c r="G210" s="127"/>
      <c r="H210" s="91" t="s">
        <v>847</v>
      </c>
      <c r="I210" s="13"/>
      <c r="J210" s="13"/>
      <c r="K210" s="13"/>
      <c r="L210" s="13"/>
      <c r="M210" s="13"/>
      <c r="N210" s="13">
        <v>10000</v>
      </c>
      <c r="O210" s="13"/>
      <c r="P210" s="13">
        <v>10000</v>
      </c>
      <c r="Q210" s="13"/>
      <c r="R210" s="13"/>
      <c r="T210" s="13">
        <f t="shared" si="61"/>
        <v>10000</v>
      </c>
    </row>
    <row r="211" spans="2:20" x14ac:dyDescent="0.25">
      <c r="B211" s="97">
        <f t="shared" si="62"/>
        <v>58</v>
      </c>
      <c r="C211" s="12"/>
      <c r="D211" s="12"/>
      <c r="E211" s="12"/>
      <c r="F211" s="12"/>
      <c r="G211" s="127"/>
      <c r="H211" s="91" t="s">
        <v>820</v>
      </c>
      <c r="I211" s="13"/>
      <c r="J211" s="13"/>
      <c r="K211" s="13"/>
      <c r="L211" s="13"/>
      <c r="M211" s="13"/>
      <c r="N211" s="13">
        <v>10000</v>
      </c>
      <c r="O211" s="13"/>
      <c r="P211" s="13">
        <v>10000</v>
      </c>
      <c r="Q211" s="13"/>
      <c r="R211" s="13"/>
      <c r="T211" s="13">
        <f t="shared" si="61"/>
        <v>10000</v>
      </c>
    </row>
    <row r="212" spans="2:20" x14ac:dyDescent="0.25">
      <c r="B212" s="97">
        <f t="shared" si="62"/>
        <v>59</v>
      </c>
      <c r="C212" s="9"/>
      <c r="D212" s="9"/>
      <c r="E212" s="9"/>
      <c r="F212" s="54" t="s">
        <v>302</v>
      </c>
      <c r="G212" s="126">
        <v>717</v>
      </c>
      <c r="H212" s="9" t="s">
        <v>327</v>
      </c>
      <c r="I212" s="10"/>
      <c r="J212" s="10"/>
      <c r="K212" s="10"/>
      <c r="L212" s="10"/>
      <c r="M212" s="10"/>
      <c r="N212" s="10">
        <f>SUM(N213:N218)</f>
        <v>237810</v>
      </c>
      <c r="O212" s="10">
        <f>O218+O214+O213</f>
        <v>137810</v>
      </c>
      <c r="P212" s="10">
        <f>P218+P214+P213</f>
        <v>179810</v>
      </c>
      <c r="Q212" s="10">
        <f>Q218+Q214+Q213+Q217</f>
        <v>14256</v>
      </c>
      <c r="R212" s="10">
        <f>R218+R214+R213</f>
        <v>75892</v>
      </c>
      <c r="T212" s="10">
        <f t="shared" si="61"/>
        <v>237810</v>
      </c>
    </row>
    <row r="213" spans="2:20" x14ac:dyDescent="0.25">
      <c r="B213" s="97">
        <f t="shared" si="62"/>
        <v>60</v>
      </c>
      <c r="C213" s="97"/>
      <c r="D213" s="12"/>
      <c r="E213" s="12"/>
      <c r="F213" s="12"/>
      <c r="G213" s="127" t="s">
        <v>60</v>
      </c>
      <c r="H213" s="12" t="s">
        <v>862</v>
      </c>
      <c r="I213" s="13"/>
      <c r="J213" s="13"/>
      <c r="K213" s="13"/>
      <c r="L213" s="13"/>
      <c r="M213" s="13"/>
      <c r="N213" s="13">
        <v>25000</v>
      </c>
      <c r="O213" s="13"/>
      <c r="P213" s="13"/>
      <c r="Q213" s="13">
        <v>8895</v>
      </c>
      <c r="R213" s="13">
        <v>75892</v>
      </c>
      <c r="T213" s="13">
        <f t="shared" si="61"/>
        <v>25000</v>
      </c>
    </row>
    <row r="214" spans="2:20" x14ac:dyDescent="0.25">
      <c r="B214" s="97">
        <f t="shared" si="62"/>
        <v>61</v>
      </c>
      <c r="C214" s="12"/>
      <c r="D214" s="12"/>
      <c r="E214" s="12"/>
      <c r="F214" s="12"/>
      <c r="G214" s="127"/>
      <c r="H214" s="91" t="s">
        <v>964</v>
      </c>
      <c r="I214" s="13"/>
      <c r="J214" s="13"/>
      <c r="K214" s="13"/>
      <c r="L214" s="13"/>
      <c r="M214" s="13"/>
      <c r="N214" s="13">
        <v>112810</v>
      </c>
      <c r="O214" s="13">
        <v>112810</v>
      </c>
      <c r="P214" s="13">
        <v>112810</v>
      </c>
      <c r="Q214" s="13">
        <v>1190</v>
      </c>
      <c r="R214" s="13"/>
      <c r="T214" s="13">
        <f t="shared" si="61"/>
        <v>112810</v>
      </c>
    </row>
    <row r="215" spans="2:20" x14ac:dyDescent="0.25">
      <c r="B215" s="97">
        <f t="shared" si="62"/>
        <v>62</v>
      </c>
      <c r="C215" s="12"/>
      <c r="D215" s="12"/>
      <c r="E215" s="12"/>
      <c r="F215" s="12"/>
      <c r="G215" s="127"/>
      <c r="H215" s="91" t="s">
        <v>963</v>
      </c>
      <c r="I215" s="13"/>
      <c r="J215" s="13"/>
      <c r="K215" s="13"/>
      <c r="L215" s="13"/>
      <c r="M215" s="13"/>
      <c r="N215" s="13">
        <v>40000</v>
      </c>
      <c r="O215" s="13"/>
      <c r="P215" s="13"/>
      <c r="Q215" s="13"/>
      <c r="R215" s="13"/>
      <c r="T215" s="13"/>
    </row>
    <row r="216" spans="2:20" x14ac:dyDescent="0.25">
      <c r="B216" s="97">
        <f t="shared" si="62"/>
        <v>63</v>
      </c>
      <c r="C216" s="12"/>
      <c r="D216" s="12"/>
      <c r="E216" s="12"/>
      <c r="F216" s="12"/>
      <c r="G216" s="127"/>
      <c r="H216" s="12" t="s">
        <v>701</v>
      </c>
      <c r="I216" s="13"/>
      <c r="J216" s="13"/>
      <c r="K216" s="13"/>
      <c r="L216" s="13"/>
      <c r="M216" s="13"/>
      <c r="N216" s="13">
        <v>60000</v>
      </c>
      <c r="O216" s="13"/>
      <c r="P216" s="13"/>
      <c r="Q216" s="13"/>
      <c r="R216" s="13"/>
      <c r="T216" s="13">
        <f t="shared" si="61"/>
        <v>60000</v>
      </c>
    </row>
    <row r="217" spans="2:20" x14ac:dyDescent="0.25">
      <c r="B217" s="97">
        <f t="shared" si="62"/>
        <v>64</v>
      </c>
      <c r="C217" s="12"/>
      <c r="D217" s="12"/>
      <c r="E217" s="12"/>
      <c r="F217" s="12"/>
      <c r="G217" s="127"/>
      <c r="H217" s="12" t="s">
        <v>768</v>
      </c>
      <c r="I217" s="13"/>
      <c r="J217" s="13"/>
      <c r="K217" s="13"/>
      <c r="L217" s="13"/>
      <c r="M217" s="13"/>
      <c r="N217" s="13"/>
      <c r="O217" s="13"/>
      <c r="P217" s="13"/>
      <c r="Q217" s="13">
        <v>4171</v>
      </c>
      <c r="R217" s="13"/>
      <c r="T217" s="13">
        <f t="shared" si="61"/>
        <v>0</v>
      </c>
    </row>
    <row r="218" spans="2:20" x14ac:dyDescent="0.25">
      <c r="B218" s="97">
        <f t="shared" si="62"/>
        <v>65</v>
      </c>
      <c r="C218" s="12"/>
      <c r="D218" s="12"/>
      <c r="E218" s="12"/>
      <c r="F218" s="12"/>
      <c r="G218" s="127"/>
      <c r="H218" s="12" t="s">
        <v>356</v>
      </c>
      <c r="I218" s="13"/>
      <c r="J218" s="13"/>
      <c r="K218" s="13"/>
      <c r="L218" s="13"/>
      <c r="M218" s="13"/>
      <c r="N218" s="13"/>
      <c r="O218" s="13">
        <v>25000</v>
      </c>
      <c r="P218" s="13">
        <v>67000</v>
      </c>
      <c r="Q218" s="13"/>
      <c r="R218" s="13"/>
      <c r="T218" s="13">
        <f t="shared" si="61"/>
        <v>0</v>
      </c>
    </row>
    <row r="219" spans="2:20" x14ac:dyDescent="0.25">
      <c r="B219" s="97">
        <f t="shared" si="62"/>
        <v>66</v>
      </c>
      <c r="C219" s="49"/>
      <c r="D219" s="49"/>
      <c r="E219" s="49">
        <v>2</v>
      </c>
      <c r="F219" s="49"/>
      <c r="G219" s="123"/>
      <c r="H219" s="49" t="s">
        <v>59</v>
      </c>
      <c r="I219" s="50">
        <f>I221+I222+I223+I230</f>
        <v>242765</v>
      </c>
      <c r="J219" s="50">
        <f t="shared" ref="J219:R219" si="83">J220</f>
        <v>253340</v>
      </c>
      <c r="K219" s="50">
        <f t="shared" si="83"/>
        <v>247640</v>
      </c>
      <c r="L219" s="50">
        <f t="shared" si="83"/>
        <v>204115</v>
      </c>
      <c r="M219" s="50">
        <f t="shared" si="83"/>
        <v>224191</v>
      </c>
      <c r="N219" s="50">
        <f>N231</f>
        <v>10000</v>
      </c>
      <c r="O219" s="50">
        <f t="shared" si="83"/>
        <v>0</v>
      </c>
      <c r="P219" s="50">
        <f t="shared" si="83"/>
        <v>0</v>
      </c>
      <c r="Q219" s="50">
        <f t="shared" si="83"/>
        <v>0</v>
      </c>
      <c r="R219" s="50">
        <f t="shared" si="83"/>
        <v>0</v>
      </c>
      <c r="T219" s="50">
        <f t="shared" si="61"/>
        <v>252765</v>
      </c>
    </row>
    <row r="220" spans="2:20" hidden="1" x14ac:dyDescent="0.25">
      <c r="B220" s="97">
        <f t="shared" si="62"/>
        <v>67</v>
      </c>
      <c r="C220" s="51"/>
      <c r="D220" s="51"/>
      <c r="E220" s="51" t="s">
        <v>60</v>
      </c>
      <c r="F220" s="51"/>
      <c r="G220" s="124"/>
      <c r="H220" s="51" t="s">
        <v>73</v>
      </c>
      <c r="I220" s="52" t="e">
        <f>#REF!+#REF!</f>
        <v>#REF!</v>
      </c>
      <c r="J220" s="52">
        <f>J231+J230+J223+J222+J221</f>
        <v>253340</v>
      </c>
      <c r="K220" s="52">
        <f>K231+K230+K223+K222+K221</f>
        <v>247640</v>
      </c>
      <c r="L220" s="52">
        <f>L231+L230+L223+L222+L221</f>
        <v>204115</v>
      </c>
      <c r="M220" s="52">
        <f>M231+M230+M223+M222+M221</f>
        <v>224191</v>
      </c>
      <c r="N220" s="52" t="e">
        <f>#REF!+#REF!</f>
        <v>#REF!</v>
      </c>
      <c r="O220" s="52">
        <f>O231+O230+O223+O222+O221</f>
        <v>0</v>
      </c>
      <c r="P220" s="52">
        <f>P231+P230+P223+P222+P221</f>
        <v>0</v>
      </c>
      <c r="Q220" s="52">
        <f>Q231+Q230+Q223+Q222+Q221</f>
        <v>0</v>
      </c>
      <c r="R220" s="52">
        <f>R231+R230+R223+R222+R221</f>
        <v>0</v>
      </c>
      <c r="T220" s="52" t="e">
        <f t="shared" ref="T220:T283" si="84">I220+N220</f>
        <v>#REF!</v>
      </c>
    </row>
    <row r="221" spans="2:20" x14ac:dyDescent="0.25">
      <c r="B221" s="97">
        <f t="shared" si="62"/>
        <v>68</v>
      </c>
      <c r="C221" s="29"/>
      <c r="D221" s="29"/>
      <c r="E221" s="29"/>
      <c r="F221" s="53" t="s">
        <v>357</v>
      </c>
      <c r="G221" s="125">
        <v>610</v>
      </c>
      <c r="H221" s="29" t="s">
        <v>338</v>
      </c>
      <c r="I221" s="15">
        <v>61350</v>
      </c>
      <c r="J221" s="15">
        <v>63900</v>
      </c>
      <c r="K221" s="15">
        <v>61900</v>
      </c>
      <c r="L221" s="15">
        <v>54853</v>
      </c>
      <c r="M221" s="15">
        <v>62394</v>
      </c>
      <c r="N221" s="15"/>
      <c r="O221" s="15"/>
      <c r="P221" s="15"/>
      <c r="Q221" s="15"/>
      <c r="R221" s="15"/>
      <c r="T221" s="15">
        <f t="shared" si="84"/>
        <v>61350</v>
      </c>
    </row>
    <row r="222" spans="2:20" x14ac:dyDescent="0.25">
      <c r="B222" s="97">
        <f t="shared" si="62"/>
        <v>69</v>
      </c>
      <c r="C222" s="29"/>
      <c r="D222" s="29"/>
      <c r="E222" s="29"/>
      <c r="F222" s="53" t="s">
        <v>357</v>
      </c>
      <c r="G222" s="125">
        <v>620</v>
      </c>
      <c r="H222" s="29" t="s">
        <v>313</v>
      </c>
      <c r="I222" s="15">
        <v>22765</v>
      </c>
      <c r="J222" s="15">
        <v>24000</v>
      </c>
      <c r="K222" s="15">
        <v>23300</v>
      </c>
      <c r="L222" s="15">
        <v>20143</v>
      </c>
      <c r="M222" s="15">
        <v>23677</v>
      </c>
      <c r="N222" s="15"/>
      <c r="O222" s="15"/>
      <c r="P222" s="15"/>
      <c r="Q222" s="15"/>
      <c r="R222" s="15"/>
      <c r="T222" s="15">
        <f t="shared" si="84"/>
        <v>22765</v>
      </c>
    </row>
    <row r="223" spans="2:20" x14ac:dyDescent="0.25">
      <c r="B223" s="97">
        <f t="shared" si="62"/>
        <v>70</v>
      </c>
      <c r="C223" s="29"/>
      <c r="D223" s="29"/>
      <c r="E223" s="29"/>
      <c r="F223" s="53" t="s">
        <v>357</v>
      </c>
      <c r="G223" s="125">
        <v>630</v>
      </c>
      <c r="H223" s="29" t="s">
        <v>303</v>
      </c>
      <c r="I223" s="15">
        <f>SUM(I224:I229)</f>
        <v>157200</v>
      </c>
      <c r="J223" s="15">
        <f>SUM(J224:J229)</f>
        <v>163240</v>
      </c>
      <c r="K223" s="15">
        <f t="shared" ref="K223:M223" si="85">SUM(K224:K229)</f>
        <v>160240</v>
      </c>
      <c r="L223" s="15">
        <f t="shared" si="85"/>
        <v>129002</v>
      </c>
      <c r="M223" s="15">
        <f t="shared" si="85"/>
        <v>136920</v>
      </c>
      <c r="N223" s="15"/>
      <c r="O223" s="15"/>
      <c r="P223" s="15"/>
      <c r="Q223" s="15"/>
      <c r="R223" s="15"/>
      <c r="T223" s="15">
        <f t="shared" si="84"/>
        <v>157200</v>
      </c>
    </row>
    <row r="224" spans="2:20" x14ac:dyDescent="0.25">
      <c r="B224" s="97">
        <f t="shared" si="62"/>
        <v>71</v>
      </c>
      <c r="C224" s="9"/>
      <c r="D224" s="9"/>
      <c r="E224" s="9"/>
      <c r="F224" s="54" t="s">
        <v>357</v>
      </c>
      <c r="G224" s="126">
        <v>632</v>
      </c>
      <c r="H224" s="9" t="s">
        <v>314</v>
      </c>
      <c r="I224" s="10">
        <v>93500</v>
      </c>
      <c r="J224" s="10">
        <v>90000</v>
      </c>
      <c r="K224" s="10">
        <v>90000</v>
      </c>
      <c r="L224" s="10">
        <v>84940</v>
      </c>
      <c r="M224" s="10">
        <v>87795</v>
      </c>
      <c r="N224" s="10"/>
      <c r="O224" s="10"/>
      <c r="P224" s="10"/>
      <c r="Q224" s="10"/>
      <c r="R224" s="10"/>
      <c r="T224" s="10">
        <f t="shared" si="84"/>
        <v>93500</v>
      </c>
    </row>
    <row r="225" spans="2:20" x14ac:dyDescent="0.25">
      <c r="B225" s="97">
        <f t="shared" si="62"/>
        <v>72</v>
      </c>
      <c r="C225" s="9"/>
      <c r="D225" s="9"/>
      <c r="E225" s="9"/>
      <c r="F225" s="54" t="s">
        <v>357</v>
      </c>
      <c r="G225" s="126">
        <v>633</v>
      </c>
      <c r="H225" s="9" t="s">
        <v>305</v>
      </c>
      <c r="I225" s="10">
        <v>6250</v>
      </c>
      <c r="J225" s="10">
        <v>5250</v>
      </c>
      <c r="K225" s="10">
        <v>5250</v>
      </c>
      <c r="L225" s="10">
        <v>3455</v>
      </c>
      <c r="M225" s="10">
        <v>4073</v>
      </c>
      <c r="N225" s="10"/>
      <c r="O225" s="10"/>
      <c r="P225" s="10"/>
      <c r="Q225" s="10"/>
      <c r="R225" s="10"/>
      <c r="T225" s="10">
        <f t="shared" si="84"/>
        <v>6250</v>
      </c>
    </row>
    <row r="226" spans="2:20" x14ac:dyDescent="0.25">
      <c r="B226" s="97">
        <f t="shared" si="62"/>
        <v>73</v>
      </c>
      <c r="C226" s="9"/>
      <c r="D226" s="9"/>
      <c r="E226" s="9"/>
      <c r="F226" s="54" t="s">
        <v>357</v>
      </c>
      <c r="G226" s="126">
        <v>634</v>
      </c>
      <c r="H226" s="9" t="s">
        <v>306</v>
      </c>
      <c r="I226" s="10">
        <v>4400</v>
      </c>
      <c r="J226" s="10">
        <v>4200</v>
      </c>
      <c r="K226" s="10">
        <v>4200</v>
      </c>
      <c r="L226" s="10">
        <v>2222</v>
      </c>
      <c r="M226" s="10">
        <v>3080</v>
      </c>
      <c r="N226" s="10"/>
      <c r="O226" s="10"/>
      <c r="P226" s="10"/>
      <c r="Q226" s="10"/>
      <c r="R226" s="10"/>
      <c r="T226" s="10">
        <f t="shared" si="84"/>
        <v>4400</v>
      </c>
    </row>
    <row r="227" spans="2:20" x14ac:dyDescent="0.25">
      <c r="B227" s="97">
        <f t="shared" ref="B227:B228" si="86">B226+1</f>
        <v>74</v>
      </c>
      <c r="C227" s="9"/>
      <c r="D227" s="9"/>
      <c r="E227" s="9"/>
      <c r="F227" s="54" t="s">
        <v>357</v>
      </c>
      <c r="G227" s="126">
        <v>635</v>
      </c>
      <c r="H227" s="9" t="s">
        <v>320</v>
      </c>
      <c r="I227" s="10">
        <v>37500</v>
      </c>
      <c r="J227" s="10">
        <v>46000</v>
      </c>
      <c r="K227" s="10">
        <v>46000</v>
      </c>
      <c r="L227" s="10">
        <v>29805</v>
      </c>
      <c r="M227" s="10">
        <v>31074</v>
      </c>
      <c r="N227" s="10"/>
      <c r="O227" s="10"/>
      <c r="P227" s="10"/>
      <c r="Q227" s="10"/>
      <c r="R227" s="10"/>
      <c r="T227" s="10">
        <f t="shared" si="84"/>
        <v>37500</v>
      </c>
    </row>
    <row r="228" spans="2:20" x14ac:dyDescent="0.25">
      <c r="B228" s="97">
        <f t="shared" si="86"/>
        <v>75</v>
      </c>
      <c r="C228" s="9"/>
      <c r="D228" s="9"/>
      <c r="E228" s="9"/>
      <c r="F228" s="54" t="s">
        <v>357</v>
      </c>
      <c r="G228" s="126">
        <v>636</v>
      </c>
      <c r="H228" s="9" t="s">
        <v>307</v>
      </c>
      <c r="I228" s="10">
        <v>50</v>
      </c>
      <c r="J228" s="10">
        <v>50</v>
      </c>
      <c r="K228" s="10">
        <v>50</v>
      </c>
      <c r="L228" s="10">
        <v>0</v>
      </c>
      <c r="M228" s="10">
        <v>0</v>
      </c>
      <c r="N228" s="10"/>
      <c r="O228" s="10"/>
      <c r="P228" s="10"/>
      <c r="Q228" s="10"/>
      <c r="R228" s="10"/>
      <c r="T228" s="10">
        <f t="shared" si="84"/>
        <v>50</v>
      </c>
    </row>
    <row r="229" spans="2:20" x14ac:dyDescent="0.25">
      <c r="B229" s="97">
        <f t="shared" ref="B229:B284" si="87">B228+1</f>
        <v>76</v>
      </c>
      <c r="C229" s="9"/>
      <c r="D229" s="9"/>
      <c r="E229" s="9"/>
      <c r="F229" s="54" t="s">
        <v>357</v>
      </c>
      <c r="G229" s="126">
        <v>637</v>
      </c>
      <c r="H229" s="9" t="s">
        <v>308</v>
      </c>
      <c r="I229" s="10">
        <v>15500</v>
      </c>
      <c r="J229" s="10">
        <v>17740</v>
      </c>
      <c r="K229" s="10">
        <v>14740</v>
      </c>
      <c r="L229" s="10">
        <v>8580</v>
      </c>
      <c r="M229" s="10">
        <v>10898</v>
      </c>
      <c r="N229" s="10"/>
      <c r="O229" s="10"/>
      <c r="P229" s="10"/>
      <c r="Q229" s="10"/>
      <c r="R229" s="10"/>
      <c r="T229" s="10">
        <f t="shared" si="84"/>
        <v>15500</v>
      </c>
    </row>
    <row r="230" spans="2:20" x14ac:dyDescent="0.25">
      <c r="B230" s="97">
        <f t="shared" si="87"/>
        <v>77</v>
      </c>
      <c r="C230" s="29"/>
      <c r="D230" s="29"/>
      <c r="E230" s="29"/>
      <c r="F230" s="53" t="s">
        <v>357</v>
      </c>
      <c r="G230" s="125">
        <v>640</v>
      </c>
      <c r="H230" s="29" t="s">
        <v>315</v>
      </c>
      <c r="I230" s="15">
        <v>1450</v>
      </c>
      <c r="J230" s="15">
        <v>2200</v>
      </c>
      <c r="K230" s="15">
        <v>2200</v>
      </c>
      <c r="L230" s="15">
        <v>117</v>
      </c>
      <c r="M230" s="15">
        <v>1200</v>
      </c>
      <c r="N230" s="15"/>
      <c r="O230" s="15"/>
      <c r="P230" s="15"/>
      <c r="Q230" s="15"/>
      <c r="R230" s="15"/>
      <c r="T230" s="15">
        <f t="shared" si="84"/>
        <v>1450</v>
      </c>
    </row>
    <row r="231" spans="2:20" x14ac:dyDescent="0.25">
      <c r="B231" s="97">
        <f t="shared" si="87"/>
        <v>78</v>
      </c>
      <c r="C231" s="29"/>
      <c r="D231" s="29"/>
      <c r="E231" s="29"/>
      <c r="F231" s="53" t="s">
        <v>357</v>
      </c>
      <c r="G231" s="125">
        <v>710</v>
      </c>
      <c r="H231" s="29" t="s">
        <v>321</v>
      </c>
      <c r="I231" s="15"/>
      <c r="J231" s="15">
        <f t="shared" ref="J231:M231" si="88">J232</f>
        <v>0</v>
      </c>
      <c r="K231" s="15">
        <f t="shared" si="88"/>
        <v>0</v>
      </c>
      <c r="L231" s="15">
        <f t="shared" si="88"/>
        <v>0</v>
      </c>
      <c r="M231" s="15">
        <f t="shared" si="88"/>
        <v>0</v>
      </c>
      <c r="N231" s="15">
        <f>N232</f>
        <v>10000</v>
      </c>
      <c r="O231" s="15"/>
      <c r="P231" s="15"/>
      <c r="Q231" s="15"/>
      <c r="R231" s="15"/>
      <c r="T231" s="15">
        <f t="shared" si="84"/>
        <v>10000</v>
      </c>
    </row>
    <row r="232" spans="2:20" x14ac:dyDescent="0.25">
      <c r="B232" s="97">
        <f t="shared" si="87"/>
        <v>79</v>
      </c>
      <c r="C232" s="9"/>
      <c r="D232" s="9"/>
      <c r="E232" s="9"/>
      <c r="F232" s="54" t="s">
        <v>357</v>
      </c>
      <c r="G232" s="126">
        <v>717</v>
      </c>
      <c r="H232" s="9" t="s">
        <v>692</v>
      </c>
      <c r="I232" s="10"/>
      <c r="J232" s="10"/>
      <c r="K232" s="10"/>
      <c r="L232" s="10"/>
      <c r="M232" s="10"/>
      <c r="N232" s="10">
        <v>10000</v>
      </c>
      <c r="O232" s="10"/>
      <c r="P232" s="10"/>
      <c r="Q232" s="10"/>
      <c r="R232" s="10"/>
      <c r="T232" s="10">
        <f t="shared" si="84"/>
        <v>10000</v>
      </c>
    </row>
    <row r="233" spans="2:20" ht="15.75" x14ac:dyDescent="0.25">
      <c r="B233" s="97">
        <f t="shared" si="87"/>
        <v>80</v>
      </c>
      <c r="C233" s="45">
        <v>5</v>
      </c>
      <c r="D233" s="293" t="s">
        <v>358</v>
      </c>
      <c r="E233" s="294"/>
      <c r="F233" s="294"/>
      <c r="G233" s="294"/>
      <c r="H233" s="295"/>
      <c r="I233" s="46">
        <f>I236</f>
        <v>3290765</v>
      </c>
      <c r="J233" s="46">
        <f t="shared" ref="J233:M235" si="89">J234</f>
        <v>3224920</v>
      </c>
      <c r="K233" s="46">
        <f t="shared" si="89"/>
        <v>3073095</v>
      </c>
      <c r="L233" s="46">
        <f t="shared" si="89"/>
        <v>2587208.4900000002</v>
      </c>
      <c r="M233" s="46">
        <f t="shared" si="89"/>
        <v>2610853.19</v>
      </c>
      <c r="N233" s="46">
        <v>0</v>
      </c>
      <c r="O233" s="46">
        <f t="shared" ref="O233:R235" si="90">O234</f>
        <v>3310</v>
      </c>
      <c r="P233" s="46">
        <f t="shared" si="90"/>
        <v>3310</v>
      </c>
      <c r="Q233" s="46">
        <f t="shared" si="90"/>
        <v>0</v>
      </c>
      <c r="R233" s="46">
        <f t="shared" si="90"/>
        <v>5970</v>
      </c>
      <c r="T233" s="46">
        <f t="shared" si="84"/>
        <v>3290765</v>
      </c>
    </row>
    <row r="234" spans="2:20" hidden="1" x14ac:dyDescent="0.25">
      <c r="B234" s="97">
        <f t="shared" si="87"/>
        <v>81</v>
      </c>
      <c r="C234" s="47"/>
      <c r="D234" s="47" t="s">
        <v>60</v>
      </c>
      <c r="E234" s="296"/>
      <c r="F234" s="294"/>
      <c r="G234" s="294"/>
      <c r="H234" s="295"/>
      <c r="I234" s="48" t="e">
        <f>#REF!+#REF!</f>
        <v>#REF!</v>
      </c>
      <c r="J234" s="48">
        <f t="shared" si="89"/>
        <v>3224920</v>
      </c>
      <c r="K234" s="48">
        <f t="shared" si="89"/>
        <v>3073095</v>
      </c>
      <c r="L234" s="48">
        <f t="shared" si="89"/>
        <v>2587208.4900000002</v>
      </c>
      <c r="M234" s="48">
        <f t="shared" si="89"/>
        <v>2610853.19</v>
      </c>
      <c r="N234" s="48" t="e">
        <f>#REF!+#REF!</f>
        <v>#REF!</v>
      </c>
      <c r="O234" s="48">
        <f t="shared" si="90"/>
        <v>3310</v>
      </c>
      <c r="P234" s="48">
        <f t="shared" si="90"/>
        <v>3310</v>
      </c>
      <c r="Q234" s="48">
        <f t="shared" si="90"/>
        <v>0</v>
      </c>
      <c r="R234" s="48">
        <f t="shared" si="90"/>
        <v>5970</v>
      </c>
      <c r="T234" s="48" t="e">
        <f t="shared" si="84"/>
        <v>#REF!</v>
      </c>
    </row>
    <row r="235" spans="2:20" hidden="1" x14ac:dyDescent="0.25">
      <c r="B235" s="97">
        <f t="shared" si="87"/>
        <v>82</v>
      </c>
      <c r="C235" s="49"/>
      <c r="D235" s="49"/>
      <c r="E235" s="49"/>
      <c r="F235" s="49"/>
      <c r="G235" s="123"/>
      <c r="H235" s="49" t="s">
        <v>12</v>
      </c>
      <c r="I235" s="50" t="e">
        <f>#REF!+#REF!</f>
        <v>#REF!</v>
      </c>
      <c r="J235" s="50">
        <f t="shared" si="89"/>
        <v>3224920</v>
      </c>
      <c r="K235" s="50">
        <f t="shared" si="89"/>
        <v>3073095</v>
      </c>
      <c r="L235" s="50">
        <f t="shared" si="89"/>
        <v>2587208.4900000002</v>
      </c>
      <c r="M235" s="50">
        <f t="shared" si="89"/>
        <v>2610853.19</v>
      </c>
      <c r="N235" s="50" t="e">
        <f>#REF!+#REF!</f>
        <v>#REF!</v>
      </c>
      <c r="O235" s="50">
        <f t="shared" si="90"/>
        <v>3310</v>
      </c>
      <c r="P235" s="50">
        <f t="shared" si="90"/>
        <v>3310</v>
      </c>
      <c r="Q235" s="50">
        <f t="shared" si="90"/>
        <v>0</v>
      </c>
      <c r="R235" s="50">
        <f t="shared" si="90"/>
        <v>5970</v>
      </c>
      <c r="T235" s="50" t="e">
        <f t="shared" si="84"/>
        <v>#REF!</v>
      </c>
    </row>
    <row r="236" spans="2:20" ht="16.5" hidden="1" customHeight="1" x14ac:dyDescent="0.25">
      <c r="B236" s="97">
        <f t="shared" si="87"/>
        <v>83</v>
      </c>
      <c r="C236" s="51"/>
      <c r="D236" s="51"/>
      <c r="E236" s="51" t="s">
        <v>60</v>
      </c>
      <c r="F236" s="51"/>
      <c r="G236" s="124"/>
      <c r="H236" s="51"/>
      <c r="I236" s="52">
        <f>I237+I238+I239+I244+I246+I247</f>
        <v>3290765</v>
      </c>
      <c r="J236" s="52">
        <f>J250+J247+J246+J244+J239+J238+J237</f>
        <v>3224920</v>
      </c>
      <c r="K236" s="52">
        <f>K250+K247+K246+K244+K239+K238+K237</f>
        <v>3073095</v>
      </c>
      <c r="L236" s="52">
        <f>L250+L247+L246+L244+L239+L238+L237</f>
        <v>2587208.4900000002</v>
      </c>
      <c r="M236" s="52">
        <f>M250+M247+M246+M244+M239+M238+M237</f>
        <v>2610853.19</v>
      </c>
      <c r="N236" s="52">
        <v>0</v>
      </c>
      <c r="O236" s="52">
        <f>O250+O247+O246+O244+O239+O238+O237</f>
        <v>3310</v>
      </c>
      <c r="P236" s="52">
        <f>P250+P247+P246+P244+P239+P238+P237</f>
        <v>3310</v>
      </c>
      <c r="Q236" s="52">
        <f>Q250+Q247+Q246+Q244+Q239+Q238+Q237</f>
        <v>0</v>
      </c>
      <c r="R236" s="52">
        <f>R250+R247+R246+R244+R239+R238+R237</f>
        <v>5970</v>
      </c>
      <c r="T236" s="52">
        <f t="shared" si="84"/>
        <v>3290765</v>
      </c>
    </row>
    <row r="237" spans="2:20" x14ac:dyDescent="0.25">
      <c r="B237" s="97">
        <f t="shared" si="87"/>
        <v>84</v>
      </c>
      <c r="C237" s="29"/>
      <c r="D237" s="29"/>
      <c r="E237" s="29"/>
      <c r="F237" s="53" t="s">
        <v>302</v>
      </c>
      <c r="G237" s="125">
        <v>610</v>
      </c>
      <c r="H237" s="29" t="s">
        <v>338</v>
      </c>
      <c r="I237" s="15">
        <f>1800000+45000</f>
        <v>1845000</v>
      </c>
      <c r="J237" s="15">
        <v>1700000</v>
      </c>
      <c r="K237" s="15">
        <v>1700000</v>
      </c>
      <c r="L237" s="15">
        <v>1428812</v>
      </c>
      <c r="M237" s="15">
        <v>1348444</v>
      </c>
      <c r="N237" s="15"/>
      <c r="O237" s="15"/>
      <c r="P237" s="15"/>
      <c r="Q237" s="15"/>
      <c r="R237" s="15"/>
      <c r="T237" s="15">
        <f t="shared" si="84"/>
        <v>1845000</v>
      </c>
    </row>
    <row r="238" spans="2:20" x14ac:dyDescent="0.25">
      <c r="B238" s="97">
        <f t="shared" si="87"/>
        <v>85</v>
      </c>
      <c r="C238" s="29"/>
      <c r="D238" s="29"/>
      <c r="E238" s="29"/>
      <c r="F238" s="53" t="s">
        <v>302</v>
      </c>
      <c r="G238" s="125">
        <v>620</v>
      </c>
      <c r="H238" s="29" t="s">
        <v>313</v>
      </c>
      <c r="I238" s="15">
        <f>675000+15000</f>
        <v>690000</v>
      </c>
      <c r="J238" s="15">
        <v>679450</v>
      </c>
      <c r="K238" s="15">
        <v>679450</v>
      </c>
      <c r="L238" s="15">
        <v>543694</v>
      </c>
      <c r="M238" s="15">
        <v>516609</v>
      </c>
      <c r="N238" s="15"/>
      <c r="O238" s="15"/>
      <c r="P238" s="15"/>
      <c r="Q238" s="15"/>
      <c r="R238" s="15"/>
      <c r="T238" s="15">
        <f t="shared" si="84"/>
        <v>690000</v>
      </c>
    </row>
    <row r="239" spans="2:20" x14ac:dyDescent="0.25">
      <c r="B239" s="97">
        <f t="shared" si="87"/>
        <v>86</v>
      </c>
      <c r="C239" s="29"/>
      <c r="D239" s="29"/>
      <c r="E239" s="29"/>
      <c r="F239" s="53" t="s">
        <v>302</v>
      </c>
      <c r="G239" s="125">
        <v>630</v>
      </c>
      <c r="H239" s="29" t="s">
        <v>303</v>
      </c>
      <c r="I239" s="15">
        <f>SUM(I240:I243)</f>
        <v>458000</v>
      </c>
      <c r="J239" s="15">
        <f>J243+J242+J241+J240</f>
        <v>460470</v>
      </c>
      <c r="K239" s="15">
        <f t="shared" ref="K239:M239" si="91">K243+K242+K241+K240</f>
        <v>460470</v>
      </c>
      <c r="L239" s="15">
        <f t="shared" si="91"/>
        <v>382839.27</v>
      </c>
      <c r="M239" s="15">
        <f t="shared" si="91"/>
        <v>437971</v>
      </c>
      <c r="N239" s="15"/>
      <c r="O239" s="15"/>
      <c r="P239" s="15"/>
      <c r="Q239" s="15"/>
      <c r="R239" s="15"/>
      <c r="T239" s="15">
        <f t="shared" si="84"/>
        <v>458000</v>
      </c>
    </row>
    <row r="240" spans="2:20" x14ac:dyDescent="0.25">
      <c r="B240" s="97">
        <f t="shared" si="87"/>
        <v>87</v>
      </c>
      <c r="C240" s="9"/>
      <c r="D240" s="9"/>
      <c r="E240" s="9"/>
      <c r="F240" s="54" t="s">
        <v>302</v>
      </c>
      <c r="G240" s="126">
        <v>632</v>
      </c>
      <c r="H240" s="9" t="s">
        <v>314</v>
      </c>
      <c r="I240" s="10">
        <v>160000</v>
      </c>
      <c r="J240" s="10">
        <v>161770</v>
      </c>
      <c r="K240" s="10">
        <v>161770</v>
      </c>
      <c r="L240" s="10">
        <v>135341.29999999999</v>
      </c>
      <c r="M240" s="10">
        <v>157293</v>
      </c>
      <c r="N240" s="10"/>
      <c r="O240" s="10"/>
      <c r="P240" s="10"/>
      <c r="Q240" s="10"/>
      <c r="R240" s="10"/>
      <c r="T240" s="10">
        <f t="shared" si="84"/>
        <v>160000</v>
      </c>
    </row>
    <row r="241" spans="2:20" x14ac:dyDescent="0.25">
      <c r="B241" s="97">
        <f t="shared" si="87"/>
        <v>88</v>
      </c>
      <c r="C241" s="9"/>
      <c r="D241" s="9"/>
      <c r="E241" s="9"/>
      <c r="F241" s="54" t="s">
        <v>302</v>
      </c>
      <c r="G241" s="126">
        <v>633</v>
      </c>
      <c r="H241" s="9" t="s">
        <v>305</v>
      </c>
      <c r="I241" s="10">
        <f>42000-20000-4000</f>
        <v>18000</v>
      </c>
      <c r="J241" s="10">
        <v>40700</v>
      </c>
      <c r="K241" s="10">
        <v>40700</v>
      </c>
      <c r="L241" s="10">
        <v>36935.629999999997</v>
      </c>
      <c r="M241" s="10">
        <v>35757</v>
      </c>
      <c r="N241" s="10"/>
      <c r="O241" s="10"/>
      <c r="P241" s="10"/>
      <c r="Q241" s="10"/>
      <c r="R241" s="10"/>
      <c r="T241" s="10">
        <f t="shared" si="84"/>
        <v>18000</v>
      </c>
    </row>
    <row r="242" spans="2:20" x14ac:dyDescent="0.25">
      <c r="B242" s="97">
        <f t="shared" si="87"/>
        <v>89</v>
      </c>
      <c r="C242" s="9"/>
      <c r="D242" s="9"/>
      <c r="E242" s="9"/>
      <c r="F242" s="54" t="s">
        <v>302</v>
      </c>
      <c r="G242" s="126">
        <v>635</v>
      </c>
      <c r="H242" s="9" t="s">
        <v>320</v>
      </c>
      <c r="I242" s="10">
        <f>50000-5000</f>
        <v>45000</v>
      </c>
      <c r="J242" s="10">
        <v>33000</v>
      </c>
      <c r="K242" s="10">
        <v>33000</v>
      </c>
      <c r="L242" s="10">
        <v>18074.05</v>
      </c>
      <c r="M242" s="10">
        <v>25220</v>
      </c>
      <c r="N242" s="10"/>
      <c r="O242" s="10"/>
      <c r="P242" s="10"/>
      <c r="Q242" s="10"/>
      <c r="R242" s="10"/>
      <c r="T242" s="10">
        <f t="shared" si="84"/>
        <v>45000</v>
      </c>
    </row>
    <row r="243" spans="2:20" x14ac:dyDescent="0.25">
      <c r="B243" s="97">
        <f t="shared" si="87"/>
        <v>90</v>
      </c>
      <c r="C243" s="9"/>
      <c r="D243" s="9"/>
      <c r="E243" s="9"/>
      <c r="F243" s="54" t="s">
        <v>302</v>
      </c>
      <c r="G243" s="126">
        <v>637</v>
      </c>
      <c r="H243" s="9" t="s">
        <v>308</v>
      </c>
      <c r="I243" s="10">
        <v>235000</v>
      </c>
      <c r="J243" s="10">
        <v>225000</v>
      </c>
      <c r="K243" s="10">
        <v>225000</v>
      </c>
      <c r="L243" s="10">
        <v>192488.29</v>
      </c>
      <c r="M243" s="10">
        <v>219701</v>
      </c>
      <c r="N243" s="10"/>
      <c r="O243" s="10"/>
      <c r="P243" s="10"/>
      <c r="Q243" s="10"/>
      <c r="R243" s="10"/>
      <c r="T243" s="10">
        <f t="shared" si="84"/>
        <v>235000</v>
      </c>
    </row>
    <row r="244" spans="2:20" x14ac:dyDescent="0.25">
      <c r="B244" s="97">
        <f t="shared" si="87"/>
        <v>91</v>
      </c>
      <c r="C244" s="29"/>
      <c r="D244" s="29"/>
      <c r="E244" s="29"/>
      <c r="F244" s="53" t="s">
        <v>334</v>
      </c>
      <c r="G244" s="125">
        <v>630</v>
      </c>
      <c r="H244" s="29" t="s">
        <v>303</v>
      </c>
      <c r="I244" s="15">
        <f>I245</f>
        <v>12865</v>
      </c>
      <c r="J244" s="15">
        <f t="shared" ref="J244:M244" si="92">J245</f>
        <v>10000</v>
      </c>
      <c r="K244" s="15">
        <f t="shared" si="92"/>
        <v>10000</v>
      </c>
      <c r="L244" s="15">
        <f t="shared" si="92"/>
        <v>10985.46</v>
      </c>
      <c r="M244" s="15">
        <f t="shared" si="92"/>
        <v>0</v>
      </c>
      <c r="N244" s="15"/>
      <c r="O244" s="15"/>
      <c r="P244" s="15"/>
      <c r="Q244" s="15"/>
      <c r="R244" s="15"/>
      <c r="T244" s="15">
        <f t="shared" si="84"/>
        <v>12865</v>
      </c>
    </row>
    <row r="245" spans="2:20" x14ac:dyDescent="0.25">
      <c r="B245" s="97">
        <f t="shared" si="87"/>
        <v>92</v>
      </c>
      <c r="C245" s="9"/>
      <c r="D245" s="9"/>
      <c r="E245" s="9"/>
      <c r="F245" s="54" t="s">
        <v>334</v>
      </c>
      <c r="G245" s="126">
        <v>637</v>
      </c>
      <c r="H245" s="9" t="s">
        <v>308</v>
      </c>
      <c r="I245" s="10">
        <v>12865</v>
      </c>
      <c r="J245" s="10">
        <v>10000</v>
      </c>
      <c r="K245" s="10">
        <v>10000</v>
      </c>
      <c r="L245" s="10">
        <v>10985.46</v>
      </c>
      <c r="M245" s="10"/>
      <c r="N245" s="10"/>
      <c r="O245" s="10"/>
      <c r="P245" s="10"/>
      <c r="Q245" s="10"/>
      <c r="R245" s="10"/>
      <c r="T245" s="10">
        <f t="shared" si="84"/>
        <v>12865</v>
      </c>
    </row>
    <row r="246" spans="2:20" s="104" customFormat="1" ht="33.75" x14ac:dyDescent="0.25">
      <c r="B246" s="97">
        <f t="shared" si="87"/>
        <v>93</v>
      </c>
      <c r="C246" s="141"/>
      <c r="D246" s="141"/>
      <c r="E246" s="141"/>
      <c r="F246" s="153" t="s">
        <v>359</v>
      </c>
      <c r="G246" s="154">
        <v>650</v>
      </c>
      <c r="H246" s="155" t="s">
        <v>845</v>
      </c>
      <c r="I246" s="145">
        <f>270000-5100-5000</f>
        <v>259900</v>
      </c>
      <c r="J246" s="145">
        <v>350000</v>
      </c>
      <c r="K246" s="145">
        <f>210675-8500-4000</f>
        <v>198175</v>
      </c>
      <c r="L246" s="145">
        <v>207520</v>
      </c>
      <c r="M246" s="145">
        <v>299009.19</v>
      </c>
      <c r="N246" s="145"/>
      <c r="O246" s="145"/>
      <c r="P246" s="145"/>
      <c r="Q246" s="145"/>
      <c r="R246" s="145"/>
      <c r="T246" s="145">
        <f t="shared" si="84"/>
        <v>259900</v>
      </c>
    </row>
    <row r="247" spans="2:20" x14ac:dyDescent="0.25">
      <c r="B247" s="97">
        <f t="shared" si="87"/>
        <v>94</v>
      </c>
      <c r="C247" s="29"/>
      <c r="D247" s="29"/>
      <c r="E247" s="29"/>
      <c r="F247" s="53" t="s">
        <v>302</v>
      </c>
      <c r="G247" s="125">
        <v>640</v>
      </c>
      <c r="H247" s="29" t="s">
        <v>315</v>
      </c>
      <c r="I247" s="15">
        <f>I248</f>
        <v>25000</v>
      </c>
      <c r="J247" s="15">
        <f t="shared" ref="J247:M248" si="93">J248</f>
        <v>25000</v>
      </c>
      <c r="K247" s="15">
        <f t="shared" si="93"/>
        <v>25000</v>
      </c>
      <c r="L247" s="15">
        <f t="shared" si="93"/>
        <v>13357.76</v>
      </c>
      <c r="M247" s="15">
        <v>8820</v>
      </c>
      <c r="N247" s="15"/>
      <c r="O247" s="15"/>
      <c r="P247" s="15"/>
      <c r="Q247" s="15"/>
      <c r="R247" s="15"/>
      <c r="T247" s="15">
        <f t="shared" si="84"/>
        <v>25000</v>
      </c>
    </row>
    <row r="248" spans="2:20" x14ac:dyDescent="0.25">
      <c r="B248" s="97">
        <f t="shared" si="87"/>
        <v>95</v>
      </c>
      <c r="C248" s="9"/>
      <c r="D248" s="9"/>
      <c r="E248" s="9"/>
      <c r="F248" s="54" t="s">
        <v>302</v>
      </c>
      <c r="G248" s="126">
        <v>642</v>
      </c>
      <c r="H248" s="9" t="s">
        <v>316</v>
      </c>
      <c r="I248" s="10">
        <f>I249</f>
        <v>25000</v>
      </c>
      <c r="J248" s="10">
        <f t="shared" si="93"/>
        <v>25000</v>
      </c>
      <c r="K248" s="10">
        <f t="shared" si="93"/>
        <v>25000</v>
      </c>
      <c r="L248" s="10">
        <f t="shared" si="93"/>
        <v>13357.76</v>
      </c>
      <c r="M248" s="10">
        <f t="shared" si="93"/>
        <v>8820</v>
      </c>
      <c r="N248" s="10"/>
      <c r="O248" s="10"/>
      <c r="P248" s="10"/>
      <c r="Q248" s="10"/>
      <c r="R248" s="10"/>
      <c r="T248" s="10">
        <f t="shared" si="84"/>
        <v>25000</v>
      </c>
    </row>
    <row r="249" spans="2:20" x14ac:dyDescent="0.25">
      <c r="B249" s="97">
        <f t="shared" si="87"/>
        <v>96</v>
      </c>
      <c r="C249" s="12"/>
      <c r="D249" s="12"/>
      <c r="E249" s="12"/>
      <c r="F249" s="12"/>
      <c r="G249" s="127"/>
      <c r="H249" s="12" t="s">
        <v>770</v>
      </c>
      <c r="I249" s="13">
        <v>25000</v>
      </c>
      <c r="J249" s="13">
        <v>25000</v>
      </c>
      <c r="K249" s="13">
        <v>25000</v>
      </c>
      <c r="L249" s="13">
        <v>13357.76</v>
      </c>
      <c r="M249" s="13">
        <v>8820</v>
      </c>
      <c r="N249" s="13"/>
      <c r="O249" s="13"/>
      <c r="P249" s="13"/>
      <c r="Q249" s="13"/>
      <c r="R249" s="13"/>
      <c r="T249" s="13">
        <f t="shared" si="84"/>
        <v>25000</v>
      </c>
    </row>
    <row r="250" spans="2:20" x14ac:dyDescent="0.25">
      <c r="B250" s="97">
        <f t="shared" si="87"/>
        <v>97</v>
      </c>
      <c r="C250" s="29"/>
      <c r="D250" s="29"/>
      <c r="E250" s="29"/>
      <c r="F250" s="53" t="s">
        <v>302</v>
      </c>
      <c r="G250" s="125">
        <v>710</v>
      </c>
      <c r="H250" s="29" t="s">
        <v>321</v>
      </c>
      <c r="I250" s="15"/>
      <c r="J250" s="15"/>
      <c r="K250" s="15"/>
      <c r="L250" s="15"/>
      <c r="M250" s="15"/>
      <c r="N250" s="15"/>
      <c r="O250" s="15">
        <f>O251+O252</f>
        <v>3310</v>
      </c>
      <c r="P250" s="15">
        <f t="shared" ref="P250:R250" si="94">P251+P252</f>
        <v>3310</v>
      </c>
      <c r="Q250" s="15"/>
      <c r="R250" s="15">
        <f t="shared" si="94"/>
        <v>5970</v>
      </c>
      <c r="T250" s="15">
        <f t="shared" si="84"/>
        <v>0</v>
      </c>
    </row>
    <row r="251" spans="2:20" x14ac:dyDescent="0.25">
      <c r="B251" s="97">
        <f t="shared" si="87"/>
        <v>98</v>
      </c>
      <c r="C251" s="9"/>
      <c r="D251" s="9"/>
      <c r="E251" s="9"/>
      <c r="F251" s="54" t="s">
        <v>302</v>
      </c>
      <c r="G251" s="126">
        <v>713</v>
      </c>
      <c r="H251" s="9" t="s">
        <v>360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>
        <v>5970</v>
      </c>
      <c r="T251" s="10">
        <f t="shared" si="84"/>
        <v>0</v>
      </c>
    </row>
    <row r="252" spans="2:20" x14ac:dyDescent="0.25">
      <c r="B252" s="97">
        <f t="shared" si="87"/>
        <v>99</v>
      </c>
      <c r="C252" s="9"/>
      <c r="D252" s="9"/>
      <c r="E252" s="9"/>
      <c r="F252" s="54" t="s">
        <v>302</v>
      </c>
      <c r="G252" s="126">
        <v>717</v>
      </c>
      <c r="H252" s="9" t="s">
        <v>327</v>
      </c>
      <c r="I252" s="10"/>
      <c r="J252" s="10"/>
      <c r="K252" s="10"/>
      <c r="L252" s="10"/>
      <c r="M252" s="10"/>
      <c r="N252" s="10"/>
      <c r="O252" s="10">
        <v>3310</v>
      </c>
      <c r="P252" s="10">
        <v>3310</v>
      </c>
      <c r="Q252" s="10"/>
      <c r="R252" s="10"/>
      <c r="T252" s="10">
        <f t="shared" si="84"/>
        <v>0</v>
      </c>
    </row>
    <row r="253" spans="2:20" ht="15.75" x14ac:dyDescent="0.25">
      <c r="B253" s="97">
        <f t="shared" si="87"/>
        <v>100</v>
      </c>
      <c r="C253" s="45">
        <v>6</v>
      </c>
      <c r="D253" s="293" t="s">
        <v>362</v>
      </c>
      <c r="E253" s="294"/>
      <c r="F253" s="294"/>
      <c r="G253" s="294"/>
      <c r="H253" s="295"/>
      <c r="I253" s="46">
        <f>I257+I259</f>
        <v>8000</v>
      </c>
      <c r="J253" s="46">
        <f t="shared" ref="J253:M255" si="95">J254</f>
        <v>7000</v>
      </c>
      <c r="K253" s="46">
        <f t="shared" si="95"/>
        <v>7000</v>
      </c>
      <c r="L253" s="46">
        <f t="shared" si="95"/>
        <v>5081.6499999999996</v>
      </c>
      <c r="M253" s="46">
        <f t="shared" si="95"/>
        <v>5956.4</v>
      </c>
      <c r="N253" s="46">
        <v>0</v>
      </c>
      <c r="O253" s="46">
        <f t="shared" ref="O253:R255" si="96">O254</f>
        <v>0</v>
      </c>
      <c r="P253" s="46">
        <f t="shared" si="96"/>
        <v>0</v>
      </c>
      <c r="Q253" s="46">
        <f t="shared" si="96"/>
        <v>0</v>
      </c>
      <c r="R253" s="46">
        <f t="shared" si="96"/>
        <v>0</v>
      </c>
      <c r="T253" s="46">
        <f t="shared" si="84"/>
        <v>8000</v>
      </c>
    </row>
    <row r="254" spans="2:20" hidden="1" x14ac:dyDescent="0.25">
      <c r="B254" s="97">
        <f t="shared" si="87"/>
        <v>101</v>
      </c>
      <c r="C254" s="47"/>
      <c r="D254" s="47" t="s">
        <v>60</v>
      </c>
      <c r="E254" s="296"/>
      <c r="F254" s="294"/>
      <c r="G254" s="294"/>
      <c r="H254" s="295"/>
      <c r="I254" s="48" t="e">
        <f>#REF!+#REF!</f>
        <v>#REF!</v>
      </c>
      <c r="J254" s="48">
        <f t="shared" si="95"/>
        <v>7000</v>
      </c>
      <c r="K254" s="48">
        <f t="shared" si="95"/>
        <v>7000</v>
      </c>
      <c r="L254" s="48">
        <f t="shared" si="95"/>
        <v>5081.6499999999996</v>
      </c>
      <c r="M254" s="48">
        <f t="shared" si="95"/>
        <v>5956.4</v>
      </c>
      <c r="N254" s="48" t="e">
        <f>#REF!+#REF!</f>
        <v>#REF!</v>
      </c>
      <c r="O254" s="48">
        <f t="shared" si="96"/>
        <v>0</v>
      </c>
      <c r="P254" s="48">
        <f t="shared" si="96"/>
        <v>0</v>
      </c>
      <c r="Q254" s="48">
        <f t="shared" si="96"/>
        <v>0</v>
      </c>
      <c r="R254" s="48">
        <f t="shared" si="96"/>
        <v>0</v>
      </c>
      <c r="T254" s="48" t="e">
        <f t="shared" si="84"/>
        <v>#REF!</v>
      </c>
    </row>
    <row r="255" spans="2:20" hidden="1" x14ac:dyDescent="0.25">
      <c r="B255" s="97">
        <f t="shared" si="87"/>
        <v>102</v>
      </c>
      <c r="C255" s="49"/>
      <c r="D255" s="49"/>
      <c r="E255" s="49"/>
      <c r="F255" s="49"/>
      <c r="G255" s="123"/>
      <c r="H255" s="49" t="s">
        <v>12</v>
      </c>
      <c r="I255" s="50" t="e">
        <f>#REF!+#REF!</f>
        <v>#REF!</v>
      </c>
      <c r="J255" s="50">
        <f t="shared" si="95"/>
        <v>7000</v>
      </c>
      <c r="K255" s="50">
        <f t="shared" si="95"/>
        <v>7000</v>
      </c>
      <c r="L255" s="50">
        <f t="shared" si="95"/>
        <v>5081.6499999999996</v>
      </c>
      <c r="M255" s="50">
        <f t="shared" si="95"/>
        <v>5956.4</v>
      </c>
      <c r="N255" s="50" t="e">
        <f>#REF!+#REF!</f>
        <v>#REF!</v>
      </c>
      <c r="O255" s="50">
        <f t="shared" si="96"/>
        <v>0</v>
      </c>
      <c r="P255" s="50">
        <f t="shared" si="96"/>
        <v>0</v>
      </c>
      <c r="Q255" s="50">
        <f t="shared" si="96"/>
        <v>0</v>
      </c>
      <c r="R255" s="50">
        <f t="shared" si="96"/>
        <v>0</v>
      </c>
      <c r="T255" s="50" t="e">
        <f t="shared" si="84"/>
        <v>#REF!</v>
      </c>
    </row>
    <row r="256" spans="2:20" hidden="1" x14ac:dyDescent="0.25">
      <c r="B256" s="97">
        <f t="shared" si="87"/>
        <v>103</v>
      </c>
      <c r="C256" s="51"/>
      <c r="D256" s="51"/>
      <c r="E256" s="51" t="s">
        <v>60</v>
      </c>
      <c r="F256" s="51"/>
      <c r="G256" s="124"/>
      <c r="H256" s="51"/>
      <c r="I256" s="52" t="e">
        <f>#REF!+#REF!</f>
        <v>#REF!</v>
      </c>
      <c r="J256" s="52">
        <f t="shared" ref="J256:R256" si="97">J259+J257</f>
        <v>7000</v>
      </c>
      <c r="K256" s="52">
        <f t="shared" si="97"/>
        <v>7000</v>
      </c>
      <c r="L256" s="52">
        <f t="shared" si="97"/>
        <v>5081.6499999999996</v>
      </c>
      <c r="M256" s="52">
        <f t="shared" si="97"/>
        <v>5956.4</v>
      </c>
      <c r="N256" s="52" t="e">
        <f>#REF!+#REF!</f>
        <v>#REF!</v>
      </c>
      <c r="O256" s="52">
        <f t="shared" si="97"/>
        <v>0</v>
      </c>
      <c r="P256" s="52">
        <f t="shared" si="97"/>
        <v>0</v>
      </c>
      <c r="Q256" s="52">
        <f t="shared" si="97"/>
        <v>0</v>
      </c>
      <c r="R256" s="52">
        <f t="shared" si="97"/>
        <v>0</v>
      </c>
      <c r="T256" s="52" t="e">
        <f t="shared" si="84"/>
        <v>#REF!</v>
      </c>
    </row>
    <row r="257" spans="2:20" x14ac:dyDescent="0.25">
      <c r="B257" s="97">
        <f t="shared" si="87"/>
        <v>104</v>
      </c>
      <c r="C257" s="29"/>
      <c r="D257" s="29"/>
      <c r="E257" s="29"/>
      <c r="F257" s="53" t="s">
        <v>302</v>
      </c>
      <c r="G257" s="125">
        <v>630</v>
      </c>
      <c r="H257" s="29" t="s">
        <v>303</v>
      </c>
      <c r="I257" s="15">
        <f>I258</f>
        <v>3000</v>
      </c>
      <c r="J257" s="15">
        <f t="shared" ref="J257:M257" si="98">J258</f>
        <v>2500</v>
      </c>
      <c r="K257" s="15">
        <f t="shared" si="98"/>
        <v>2500</v>
      </c>
      <c r="L257" s="15">
        <f t="shared" si="98"/>
        <v>1552.09</v>
      </c>
      <c r="M257" s="15">
        <f t="shared" si="98"/>
        <v>2078</v>
      </c>
      <c r="N257" s="15"/>
      <c r="O257" s="15"/>
      <c r="P257" s="15"/>
      <c r="Q257" s="15"/>
      <c r="R257" s="15"/>
      <c r="T257" s="15">
        <f t="shared" si="84"/>
        <v>3000</v>
      </c>
    </row>
    <row r="258" spans="2:20" x14ac:dyDescent="0.25">
      <c r="B258" s="97">
        <f t="shared" si="87"/>
        <v>105</v>
      </c>
      <c r="C258" s="9"/>
      <c r="D258" s="9"/>
      <c r="E258" s="9"/>
      <c r="F258" s="54" t="s">
        <v>302</v>
      </c>
      <c r="G258" s="126">
        <v>631</v>
      </c>
      <c r="H258" s="9" t="s">
        <v>304</v>
      </c>
      <c r="I258" s="10">
        <v>3000</v>
      </c>
      <c r="J258" s="10">
        <v>2500</v>
      </c>
      <c r="K258" s="10">
        <v>2500</v>
      </c>
      <c r="L258" s="10">
        <v>1552.09</v>
      </c>
      <c r="M258" s="10">
        <v>2078</v>
      </c>
      <c r="N258" s="10"/>
      <c r="O258" s="10"/>
      <c r="P258" s="10"/>
      <c r="Q258" s="10"/>
      <c r="R258" s="10"/>
      <c r="T258" s="10">
        <f t="shared" si="84"/>
        <v>3000</v>
      </c>
    </row>
    <row r="259" spans="2:20" x14ac:dyDescent="0.25">
      <c r="B259" s="97">
        <f t="shared" si="87"/>
        <v>106</v>
      </c>
      <c r="C259" s="29"/>
      <c r="D259" s="29"/>
      <c r="E259" s="29"/>
      <c r="F259" s="53" t="s">
        <v>363</v>
      </c>
      <c r="G259" s="125">
        <v>630</v>
      </c>
      <c r="H259" s="29" t="s">
        <v>303</v>
      </c>
      <c r="I259" s="15">
        <f>I260</f>
        <v>5000</v>
      </c>
      <c r="J259" s="15">
        <f t="shared" ref="J259:M259" si="99">J260</f>
        <v>4500</v>
      </c>
      <c r="K259" s="15">
        <f t="shared" si="99"/>
        <v>4500</v>
      </c>
      <c r="L259" s="15">
        <f t="shared" si="99"/>
        <v>3529.56</v>
      </c>
      <c r="M259" s="15">
        <f t="shared" si="99"/>
        <v>3878.4</v>
      </c>
      <c r="N259" s="15"/>
      <c r="O259" s="15"/>
      <c r="P259" s="15"/>
      <c r="Q259" s="15"/>
      <c r="R259" s="15"/>
      <c r="T259" s="15">
        <f t="shared" si="84"/>
        <v>5000</v>
      </c>
    </row>
    <row r="260" spans="2:20" x14ac:dyDescent="0.25">
      <c r="B260" s="97">
        <f t="shared" si="87"/>
        <v>107</v>
      </c>
      <c r="C260" s="9"/>
      <c r="D260" s="9"/>
      <c r="E260" s="9"/>
      <c r="F260" s="54" t="s">
        <v>363</v>
      </c>
      <c r="G260" s="126">
        <v>637</v>
      </c>
      <c r="H260" s="9" t="s">
        <v>308</v>
      </c>
      <c r="I260" s="10">
        <v>5000</v>
      </c>
      <c r="J260" s="10">
        <v>4500</v>
      </c>
      <c r="K260" s="10">
        <v>4500</v>
      </c>
      <c r="L260" s="10">
        <v>3529.56</v>
      </c>
      <c r="M260" s="10">
        <v>3878.4</v>
      </c>
      <c r="N260" s="10"/>
      <c r="O260" s="10"/>
      <c r="P260" s="10"/>
      <c r="Q260" s="10"/>
      <c r="R260" s="10"/>
      <c r="T260" s="10">
        <f t="shared" si="84"/>
        <v>5000</v>
      </c>
    </row>
    <row r="261" spans="2:20" ht="15.75" x14ac:dyDescent="0.25">
      <c r="B261" s="97">
        <f t="shared" si="87"/>
        <v>108</v>
      </c>
      <c r="C261" s="45">
        <v>7</v>
      </c>
      <c r="D261" s="293" t="s">
        <v>364</v>
      </c>
      <c r="E261" s="294"/>
      <c r="F261" s="294"/>
      <c r="G261" s="294"/>
      <c r="H261" s="295"/>
      <c r="I261" s="46">
        <f>I262</f>
        <v>183520</v>
      </c>
      <c r="J261" s="46">
        <f t="shared" ref="J261:M263" si="100">J262</f>
        <v>148700</v>
      </c>
      <c r="K261" s="46">
        <f t="shared" si="100"/>
        <v>148700</v>
      </c>
      <c r="L261" s="46">
        <f t="shared" si="100"/>
        <v>128964.48999999999</v>
      </c>
      <c r="M261" s="46">
        <f t="shared" si="100"/>
        <v>73424</v>
      </c>
      <c r="N261" s="46">
        <f>N262</f>
        <v>41000</v>
      </c>
      <c r="O261" s="46">
        <f t="shared" ref="O261:R263" si="101">O262</f>
        <v>80000</v>
      </c>
      <c r="P261" s="46">
        <f t="shared" si="101"/>
        <v>76000</v>
      </c>
      <c r="Q261" s="46">
        <f t="shared" si="101"/>
        <v>14574</v>
      </c>
      <c r="R261" s="46">
        <f t="shared" si="101"/>
        <v>14383</v>
      </c>
      <c r="T261" s="46">
        <f t="shared" si="84"/>
        <v>224520</v>
      </c>
    </row>
    <row r="262" spans="2:20" ht="19.5" hidden="1" customHeight="1" x14ac:dyDescent="0.25">
      <c r="B262" s="97">
        <f t="shared" si="87"/>
        <v>109</v>
      </c>
      <c r="C262" s="47"/>
      <c r="D262" s="47" t="s">
        <v>60</v>
      </c>
      <c r="E262" s="296"/>
      <c r="F262" s="294"/>
      <c r="G262" s="294"/>
      <c r="H262" s="295"/>
      <c r="I262" s="48">
        <f>I263</f>
        <v>183520</v>
      </c>
      <c r="J262" s="48">
        <f t="shared" si="100"/>
        <v>148700</v>
      </c>
      <c r="K262" s="48">
        <f t="shared" si="100"/>
        <v>148700</v>
      </c>
      <c r="L262" s="48">
        <f t="shared" si="100"/>
        <v>128964.48999999999</v>
      </c>
      <c r="M262" s="48">
        <f t="shared" si="100"/>
        <v>73424</v>
      </c>
      <c r="N262" s="48">
        <f>N263</f>
        <v>41000</v>
      </c>
      <c r="O262" s="48">
        <f t="shared" si="101"/>
        <v>80000</v>
      </c>
      <c r="P262" s="48">
        <f t="shared" si="101"/>
        <v>76000</v>
      </c>
      <c r="Q262" s="48">
        <f t="shared" si="101"/>
        <v>14574</v>
      </c>
      <c r="R262" s="48">
        <f t="shared" si="101"/>
        <v>14383</v>
      </c>
      <c r="T262" s="48">
        <f t="shared" si="84"/>
        <v>224520</v>
      </c>
    </row>
    <row r="263" spans="2:20" ht="15" hidden="1" customHeight="1" x14ac:dyDescent="0.25">
      <c r="B263" s="97">
        <f t="shared" si="87"/>
        <v>110</v>
      </c>
      <c r="C263" s="49"/>
      <c r="D263" s="49"/>
      <c r="E263" s="49"/>
      <c r="F263" s="49"/>
      <c r="G263" s="123"/>
      <c r="H263" s="49" t="s">
        <v>12</v>
      </c>
      <c r="I263" s="50">
        <f>I264</f>
        <v>183520</v>
      </c>
      <c r="J263" s="50">
        <f t="shared" si="100"/>
        <v>148700</v>
      </c>
      <c r="K263" s="50">
        <f t="shared" si="100"/>
        <v>148700</v>
      </c>
      <c r="L263" s="50">
        <f t="shared" si="100"/>
        <v>128964.48999999999</v>
      </c>
      <c r="M263" s="50">
        <f t="shared" si="100"/>
        <v>73424</v>
      </c>
      <c r="N263" s="50">
        <f>N264</f>
        <v>41000</v>
      </c>
      <c r="O263" s="50">
        <f t="shared" si="101"/>
        <v>80000</v>
      </c>
      <c r="P263" s="50">
        <f t="shared" si="101"/>
        <v>76000</v>
      </c>
      <c r="Q263" s="50">
        <f t="shared" si="101"/>
        <v>14574</v>
      </c>
      <c r="R263" s="50">
        <f t="shared" si="101"/>
        <v>14383</v>
      </c>
      <c r="T263" s="50">
        <f t="shared" si="84"/>
        <v>224520</v>
      </c>
    </row>
    <row r="264" spans="2:20" ht="24.75" hidden="1" customHeight="1" x14ac:dyDescent="0.25">
      <c r="B264" s="97">
        <f t="shared" si="87"/>
        <v>111</v>
      </c>
      <c r="C264" s="51"/>
      <c r="D264" s="51"/>
      <c r="E264" s="51" t="s">
        <v>60</v>
      </c>
      <c r="F264" s="51"/>
      <c r="G264" s="124"/>
      <c r="H264" s="51"/>
      <c r="I264" s="52">
        <f>I265</f>
        <v>183520</v>
      </c>
      <c r="J264" s="52">
        <f>J270+J265</f>
        <v>148700</v>
      </c>
      <c r="K264" s="52">
        <f>K270+K265</f>
        <v>148700</v>
      </c>
      <c r="L264" s="52">
        <f>L270+L265</f>
        <v>128964.48999999999</v>
      </c>
      <c r="M264" s="52">
        <f>M270+M265</f>
        <v>73424</v>
      </c>
      <c r="N264" s="52">
        <f>N270</f>
        <v>41000</v>
      </c>
      <c r="O264" s="52">
        <f>O270+O265</f>
        <v>80000</v>
      </c>
      <c r="P264" s="52">
        <f>P270+P265</f>
        <v>76000</v>
      </c>
      <c r="Q264" s="52">
        <f>Q270+Q265</f>
        <v>14574</v>
      </c>
      <c r="R264" s="52">
        <f>R270+R265</f>
        <v>14383</v>
      </c>
      <c r="T264" s="52">
        <f t="shared" si="84"/>
        <v>224520</v>
      </c>
    </row>
    <row r="265" spans="2:20" x14ac:dyDescent="0.25">
      <c r="B265" s="97">
        <f t="shared" si="87"/>
        <v>112</v>
      </c>
      <c r="C265" s="29"/>
      <c r="D265" s="29"/>
      <c r="E265" s="29"/>
      <c r="F265" s="53" t="s">
        <v>302</v>
      </c>
      <c r="G265" s="125">
        <v>630</v>
      </c>
      <c r="H265" s="29" t="s">
        <v>303</v>
      </c>
      <c r="I265" s="15">
        <f>SUM(I266:I269)</f>
        <v>183520</v>
      </c>
      <c r="J265" s="15">
        <f>SUM(J266:J269)</f>
        <v>148700</v>
      </c>
      <c r="K265" s="15">
        <f t="shared" ref="K265:M265" si="102">SUM(K266:K269)</f>
        <v>148700</v>
      </c>
      <c r="L265" s="15">
        <f t="shared" si="102"/>
        <v>128964.48999999999</v>
      </c>
      <c r="M265" s="15">
        <f t="shared" si="102"/>
        <v>73424</v>
      </c>
      <c r="N265" s="15"/>
      <c r="O265" s="15"/>
      <c r="P265" s="15"/>
      <c r="Q265" s="15"/>
      <c r="R265" s="15"/>
      <c r="T265" s="15">
        <f t="shared" si="84"/>
        <v>183520</v>
      </c>
    </row>
    <row r="266" spans="2:20" x14ac:dyDescent="0.25">
      <c r="B266" s="97">
        <f t="shared" si="87"/>
        <v>113</v>
      </c>
      <c r="C266" s="9"/>
      <c r="D266" s="9"/>
      <c r="E266" s="9"/>
      <c r="F266" s="54" t="s">
        <v>302</v>
      </c>
      <c r="G266" s="126">
        <v>632</v>
      </c>
      <c r="H266" s="9" t="s">
        <v>314</v>
      </c>
      <c r="I266" s="10">
        <v>3700</v>
      </c>
      <c r="J266" s="10">
        <v>4700</v>
      </c>
      <c r="K266" s="10">
        <v>4700</v>
      </c>
      <c r="L266" s="10">
        <v>3167.49</v>
      </c>
      <c r="M266" s="10">
        <v>3745</v>
      </c>
      <c r="N266" s="10"/>
      <c r="O266" s="10"/>
      <c r="P266" s="10"/>
      <c r="Q266" s="10"/>
      <c r="R266" s="10"/>
      <c r="T266" s="10">
        <f t="shared" si="84"/>
        <v>3700</v>
      </c>
    </row>
    <row r="267" spans="2:20" x14ac:dyDescent="0.25">
      <c r="B267" s="97">
        <f t="shared" si="87"/>
        <v>114</v>
      </c>
      <c r="C267" s="9"/>
      <c r="D267" s="9"/>
      <c r="E267" s="9"/>
      <c r="F267" s="54" t="s">
        <v>302</v>
      </c>
      <c r="G267" s="126">
        <v>633</v>
      </c>
      <c r="H267" s="9" t="s">
        <v>305</v>
      </c>
      <c r="I267" s="10">
        <f>19000-1000</f>
        <v>18000</v>
      </c>
      <c r="J267" s="10">
        <v>21000</v>
      </c>
      <c r="K267" s="10">
        <v>21000</v>
      </c>
      <c r="L267" s="10">
        <v>24187</v>
      </c>
      <c r="M267" s="10">
        <v>26594</v>
      </c>
      <c r="N267" s="10"/>
      <c r="O267" s="10"/>
      <c r="P267" s="10"/>
      <c r="Q267" s="10"/>
      <c r="R267" s="10"/>
      <c r="T267" s="10">
        <f t="shared" si="84"/>
        <v>18000</v>
      </c>
    </row>
    <row r="268" spans="2:20" x14ac:dyDescent="0.25">
      <c r="B268" s="97">
        <f t="shared" si="87"/>
        <v>115</v>
      </c>
      <c r="C268" s="9"/>
      <c r="D268" s="9"/>
      <c r="E268" s="9"/>
      <c r="F268" s="54" t="s">
        <v>302</v>
      </c>
      <c r="G268" s="126">
        <v>635</v>
      </c>
      <c r="H268" s="9" t="s">
        <v>320</v>
      </c>
      <c r="I268" s="10">
        <f>126820-2000</f>
        <v>124820</v>
      </c>
      <c r="J268" s="10">
        <v>123000</v>
      </c>
      <c r="K268" s="10">
        <v>123000</v>
      </c>
      <c r="L268" s="10">
        <v>101610</v>
      </c>
      <c r="M268" s="10">
        <v>43085</v>
      </c>
      <c r="N268" s="10"/>
      <c r="O268" s="10"/>
      <c r="P268" s="10"/>
      <c r="Q268" s="10"/>
      <c r="R268" s="10"/>
      <c r="T268" s="10">
        <f t="shared" si="84"/>
        <v>124820</v>
      </c>
    </row>
    <row r="269" spans="2:20" x14ac:dyDescent="0.25">
      <c r="B269" s="97">
        <f t="shared" si="87"/>
        <v>116</v>
      </c>
      <c r="C269" s="9"/>
      <c r="D269" s="9"/>
      <c r="E269" s="9"/>
      <c r="F269" s="54" t="s">
        <v>302</v>
      </c>
      <c r="G269" s="126">
        <v>636</v>
      </c>
      <c r="H269" s="9" t="s">
        <v>417</v>
      </c>
      <c r="I269" s="10">
        <v>37000</v>
      </c>
      <c r="J269" s="10"/>
      <c r="K269" s="10"/>
      <c r="L269" s="10"/>
      <c r="M269" s="10"/>
      <c r="N269" s="10"/>
      <c r="O269" s="10"/>
      <c r="P269" s="10"/>
      <c r="Q269" s="10"/>
      <c r="R269" s="10"/>
      <c r="T269" s="10">
        <f t="shared" si="84"/>
        <v>37000</v>
      </c>
    </row>
    <row r="270" spans="2:20" x14ac:dyDescent="0.25">
      <c r="B270" s="97">
        <f t="shared" si="87"/>
        <v>117</v>
      </c>
      <c r="C270" s="29"/>
      <c r="D270" s="29"/>
      <c r="E270" s="29"/>
      <c r="F270" s="53" t="s">
        <v>302</v>
      </c>
      <c r="G270" s="125">
        <v>710</v>
      </c>
      <c r="H270" s="29" t="s">
        <v>321</v>
      </c>
      <c r="I270" s="15"/>
      <c r="J270" s="15"/>
      <c r="K270" s="15"/>
      <c r="L270" s="15"/>
      <c r="M270" s="15"/>
      <c r="N270" s="15">
        <f>N271+N273</f>
        <v>41000</v>
      </c>
      <c r="O270" s="15">
        <f t="shared" ref="O270:R270" si="103">O273+O271</f>
        <v>80000</v>
      </c>
      <c r="P270" s="15">
        <f t="shared" si="103"/>
        <v>76000</v>
      </c>
      <c r="Q270" s="15">
        <f t="shared" si="103"/>
        <v>14574</v>
      </c>
      <c r="R270" s="15">
        <f t="shared" si="103"/>
        <v>14383</v>
      </c>
      <c r="T270" s="15">
        <f t="shared" si="84"/>
        <v>41000</v>
      </c>
    </row>
    <row r="271" spans="2:20" x14ac:dyDescent="0.25">
      <c r="B271" s="97">
        <f t="shared" si="87"/>
        <v>118</v>
      </c>
      <c r="C271" s="9"/>
      <c r="D271" s="9"/>
      <c r="E271" s="9"/>
      <c r="F271" s="54" t="s">
        <v>302</v>
      </c>
      <c r="G271" s="126">
        <v>711</v>
      </c>
      <c r="H271" s="9" t="s">
        <v>322</v>
      </c>
      <c r="I271" s="10"/>
      <c r="J271" s="10"/>
      <c r="K271" s="10"/>
      <c r="L271" s="10"/>
      <c r="M271" s="10"/>
      <c r="N271" s="10">
        <f>N272</f>
        <v>31000</v>
      </c>
      <c r="O271" s="10">
        <f t="shared" ref="O271:R271" si="104">O272</f>
        <v>70000</v>
      </c>
      <c r="P271" s="10">
        <f t="shared" si="104"/>
        <v>70000</v>
      </c>
      <c r="Q271" s="10">
        <f t="shared" si="104"/>
        <v>4860</v>
      </c>
      <c r="R271" s="10">
        <f t="shared" si="104"/>
        <v>14383</v>
      </c>
      <c r="T271" s="10">
        <f t="shared" si="84"/>
        <v>31000</v>
      </c>
    </row>
    <row r="272" spans="2:20" x14ac:dyDescent="0.25">
      <c r="B272" s="97">
        <f t="shared" si="87"/>
        <v>119</v>
      </c>
      <c r="C272" s="12"/>
      <c r="D272" s="12"/>
      <c r="E272" s="12"/>
      <c r="F272" s="12"/>
      <c r="G272" s="127"/>
      <c r="H272" s="12" t="s">
        <v>365</v>
      </c>
      <c r="I272" s="13"/>
      <c r="J272" s="13"/>
      <c r="K272" s="13"/>
      <c r="L272" s="13"/>
      <c r="M272" s="13"/>
      <c r="N272" s="13">
        <f>20000+11000</f>
        <v>31000</v>
      </c>
      <c r="O272" s="13">
        <v>70000</v>
      </c>
      <c r="P272" s="13">
        <v>70000</v>
      </c>
      <c r="Q272" s="13">
        <v>4860</v>
      </c>
      <c r="R272" s="13">
        <v>14383</v>
      </c>
      <c r="T272" s="13">
        <f t="shared" si="84"/>
        <v>31000</v>
      </c>
    </row>
    <row r="273" spans="2:20" x14ac:dyDescent="0.25">
      <c r="B273" s="97">
        <f t="shared" si="87"/>
        <v>120</v>
      </c>
      <c r="C273" s="9"/>
      <c r="D273" s="9"/>
      <c r="E273" s="9"/>
      <c r="F273" s="54" t="s">
        <v>302</v>
      </c>
      <c r="G273" s="126">
        <v>713</v>
      </c>
      <c r="H273" s="9" t="s">
        <v>360</v>
      </c>
      <c r="I273" s="10"/>
      <c r="J273" s="10"/>
      <c r="K273" s="10"/>
      <c r="L273" s="10"/>
      <c r="M273" s="10"/>
      <c r="N273" s="10">
        <f>N274</f>
        <v>10000</v>
      </c>
      <c r="O273" s="10">
        <f t="shared" ref="O273:Q273" si="105">O274</f>
        <v>10000</v>
      </c>
      <c r="P273" s="10">
        <f t="shared" si="105"/>
        <v>6000</v>
      </c>
      <c r="Q273" s="10">
        <f t="shared" si="105"/>
        <v>9714</v>
      </c>
      <c r="R273" s="10"/>
      <c r="T273" s="10">
        <f t="shared" si="84"/>
        <v>10000</v>
      </c>
    </row>
    <row r="274" spans="2:20" x14ac:dyDescent="0.25">
      <c r="B274" s="97">
        <f t="shared" si="87"/>
        <v>121</v>
      </c>
      <c r="C274" s="12"/>
      <c r="D274" s="12"/>
      <c r="E274" s="12"/>
      <c r="F274" s="12"/>
      <c r="G274" s="127"/>
      <c r="H274" s="12" t="s">
        <v>366</v>
      </c>
      <c r="I274" s="13"/>
      <c r="J274" s="13"/>
      <c r="K274" s="13"/>
      <c r="L274" s="13"/>
      <c r="M274" s="13"/>
      <c r="N274" s="13">
        <v>10000</v>
      </c>
      <c r="O274" s="13">
        <v>10000</v>
      </c>
      <c r="P274" s="13">
        <f>10000-4000</f>
        <v>6000</v>
      </c>
      <c r="Q274" s="13">
        <v>9714</v>
      </c>
      <c r="R274" s="13"/>
      <c r="T274" s="13">
        <f t="shared" si="84"/>
        <v>10000</v>
      </c>
    </row>
    <row r="275" spans="2:20" ht="15.75" x14ac:dyDescent="0.25">
      <c r="B275" s="97">
        <f t="shared" si="87"/>
        <v>122</v>
      </c>
      <c r="C275" s="45">
        <v>8</v>
      </c>
      <c r="D275" s="293" t="s">
        <v>367</v>
      </c>
      <c r="E275" s="294"/>
      <c r="F275" s="294"/>
      <c r="G275" s="294"/>
      <c r="H275" s="295"/>
      <c r="I275" s="46">
        <f>I279</f>
        <v>30000</v>
      </c>
      <c r="J275" s="46">
        <f t="shared" ref="J275:M277" si="106">J276</f>
        <v>30000</v>
      </c>
      <c r="K275" s="46">
        <f t="shared" si="106"/>
        <v>30000</v>
      </c>
      <c r="L275" s="46">
        <f t="shared" si="106"/>
        <v>22102.09</v>
      </c>
      <c r="M275" s="46">
        <f t="shared" si="106"/>
        <v>24441</v>
      </c>
      <c r="N275" s="46">
        <f>N282</f>
        <v>13000</v>
      </c>
      <c r="O275" s="46">
        <f t="shared" ref="O275:R277" si="107">O276</f>
        <v>0</v>
      </c>
      <c r="P275" s="46">
        <f t="shared" si="107"/>
        <v>0</v>
      </c>
      <c r="Q275" s="46">
        <f t="shared" si="107"/>
        <v>11333</v>
      </c>
      <c r="R275" s="46">
        <f t="shared" si="107"/>
        <v>0</v>
      </c>
      <c r="T275" s="46">
        <f t="shared" si="84"/>
        <v>43000</v>
      </c>
    </row>
    <row r="276" spans="2:20" hidden="1" x14ac:dyDescent="0.25">
      <c r="B276" s="97">
        <f t="shared" si="87"/>
        <v>123</v>
      </c>
      <c r="C276" s="47"/>
      <c r="D276" s="47" t="s">
        <v>60</v>
      </c>
      <c r="E276" s="296"/>
      <c r="F276" s="294"/>
      <c r="G276" s="294"/>
      <c r="H276" s="295"/>
      <c r="I276" s="48">
        <f>I277</f>
        <v>30000</v>
      </c>
      <c r="J276" s="48">
        <f t="shared" si="106"/>
        <v>30000</v>
      </c>
      <c r="K276" s="48">
        <f t="shared" si="106"/>
        <v>30000</v>
      </c>
      <c r="L276" s="48">
        <f t="shared" si="106"/>
        <v>22102.09</v>
      </c>
      <c r="M276" s="48">
        <f t="shared" si="106"/>
        <v>24441</v>
      </c>
      <c r="N276" s="48" t="e">
        <f>#REF!+#REF!</f>
        <v>#REF!</v>
      </c>
      <c r="O276" s="48">
        <f t="shared" si="107"/>
        <v>0</v>
      </c>
      <c r="P276" s="48">
        <f t="shared" si="107"/>
        <v>0</v>
      </c>
      <c r="Q276" s="48">
        <f t="shared" si="107"/>
        <v>11333</v>
      </c>
      <c r="R276" s="48">
        <f t="shared" si="107"/>
        <v>0</v>
      </c>
      <c r="T276" s="48" t="e">
        <f t="shared" si="84"/>
        <v>#REF!</v>
      </c>
    </row>
    <row r="277" spans="2:20" hidden="1" x14ac:dyDescent="0.25">
      <c r="B277" s="97">
        <f t="shared" si="87"/>
        <v>124</v>
      </c>
      <c r="C277" s="49"/>
      <c r="D277" s="49"/>
      <c r="E277" s="49"/>
      <c r="F277" s="49"/>
      <c r="G277" s="123"/>
      <c r="H277" s="49" t="s">
        <v>12</v>
      </c>
      <c r="I277" s="50">
        <f>I278</f>
        <v>30000</v>
      </c>
      <c r="J277" s="50">
        <f t="shared" si="106"/>
        <v>30000</v>
      </c>
      <c r="K277" s="50">
        <f t="shared" si="106"/>
        <v>30000</v>
      </c>
      <c r="L277" s="50">
        <f t="shared" si="106"/>
        <v>22102.09</v>
      </c>
      <c r="M277" s="50">
        <f t="shared" si="106"/>
        <v>24441</v>
      </c>
      <c r="N277" s="50" t="e">
        <f>#REF!+#REF!</f>
        <v>#REF!</v>
      </c>
      <c r="O277" s="50">
        <f t="shared" si="107"/>
        <v>0</v>
      </c>
      <c r="P277" s="50">
        <f t="shared" si="107"/>
        <v>0</v>
      </c>
      <c r="Q277" s="50">
        <f t="shared" si="107"/>
        <v>11333</v>
      </c>
      <c r="R277" s="50">
        <f t="shared" si="107"/>
        <v>0</v>
      </c>
      <c r="T277" s="50" t="e">
        <f t="shared" si="84"/>
        <v>#REF!</v>
      </c>
    </row>
    <row r="278" spans="2:20" hidden="1" x14ac:dyDescent="0.25">
      <c r="B278" s="97">
        <f t="shared" si="87"/>
        <v>125</v>
      </c>
      <c r="C278" s="51"/>
      <c r="D278" s="51"/>
      <c r="E278" s="51" t="s">
        <v>60</v>
      </c>
      <c r="F278" s="51"/>
      <c r="G278" s="124"/>
      <c r="H278" s="51"/>
      <c r="I278" s="52">
        <f>I279</f>
        <v>30000</v>
      </c>
      <c r="J278" s="52">
        <f t="shared" ref="J278:R278" si="108">J282+J279</f>
        <v>30000</v>
      </c>
      <c r="K278" s="52">
        <f t="shared" si="108"/>
        <v>30000</v>
      </c>
      <c r="L278" s="52">
        <f t="shared" si="108"/>
        <v>22102.09</v>
      </c>
      <c r="M278" s="52">
        <f t="shared" si="108"/>
        <v>24441</v>
      </c>
      <c r="N278" s="52" t="e">
        <f>#REF!+#REF!</f>
        <v>#REF!</v>
      </c>
      <c r="O278" s="52">
        <f t="shared" si="108"/>
        <v>0</v>
      </c>
      <c r="P278" s="52">
        <f t="shared" si="108"/>
        <v>0</v>
      </c>
      <c r="Q278" s="52">
        <f t="shared" si="108"/>
        <v>11333</v>
      </c>
      <c r="R278" s="52">
        <f t="shared" si="108"/>
        <v>0</v>
      </c>
      <c r="T278" s="52" t="e">
        <f t="shared" si="84"/>
        <v>#REF!</v>
      </c>
    </row>
    <row r="279" spans="2:20" x14ac:dyDescent="0.25">
      <c r="B279" s="97">
        <f t="shared" si="87"/>
        <v>126</v>
      </c>
      <c r="C279" s="29"/>
      <c r="D279" s="29"/>
      <c r="E279" s="29"/>
      <c r="F279" s="53" t="s">
        <v>302</v>
      </c>
      <c r="G279" s="125">
        <v>630</v>
      </c>
      <c r="H279" s="29" t="s">
        <v>303</v>
      </c>
      <c r="I279" s="15">
        <f>SUM(I280:I281)</f>
        <v>30000</v>
      </c>
      <c r="J279" s="15">
        <f t="shared" ref="J279:M279" si="109">J281+J280</f>
        <v>30000</v>
      </c>
      <c r="K279" s="15">
        <f t="shared" si="109"/>
        <v>30000</v>
      </c>
      <c r="L279" s="15">
        <f t="shared" si="109"/>
        <v>22102.09</v>
      </c>
      <c r="M279" s="15">
        <f t="shared" si="109"/>
        <v>24441</v>
      </c>
      <c r="N279" s="15"/>
      <c r="O279" s="15"/>
      <c r="P279" s="15"/>
      <c r="Q279" s="15"/>
      <c r="R279" s="15"/>
      <c r="T279" s="15">
        <f t="shared" si="84"/>
        <v>30000</v>
      </c>
    </row>
    <row r="280" spans="2:20" x14ac:dyDescent="0.25">
      <c r="B280" s="97">
        <f t="shared" si="87"/>
        <v>127</v>
      </c>
      <c r="C280" s="9"/>
      <c r="D280" s="9"/>
      <c r="E280" s="9"/>
      <c r="F280" s="54" t="s">
        <v>302</v>
      </c>
      <c r="G280" s="126">
        <v>634</v>
      </c>
      <c r="H280" s="9" t="s">
        <v>306</v>
      </c>
      <c r="I280" s="10">
        <v>29390</v>
      </c>
      <c r="J280" s="10">
        <v>29450</v>
      </c>
      <c r="K280" s="10">
        <v>29450</v>
      </c>
      <c r="L280" s="10">
        <v>21587.14</v>
      </c>
      <c r="M280" s="10">
        <f>18178+5760</f>
        <v>23938</v>
      </c>
      <c r="N280" s="10"/>
      <c r="O280" s="10"/>
      <c r="P280" s="10"/>
      <c r="Q280" s="10"/>
      <c r="R280" s="10"/>
      <c r="T280" s="10">
        <f t="shared" si="84"/>
        <v>29390</v>
      </c>
    </row>
    <row r="281" spans="2:20" x14ac:dyDescent="0.25">
      <c r="B281" s="97">
        <f t="shared" si="87"/>
        <v>128</v>
      </c>
      <c r="C281" s="9"/>
      <c r="D281" s="9"/>
      <c r="E281" s="9"/>
      <c r="F281" s="54" t="s">
        <v>302</v>
      </c>
      <c r="G281" s="126">
        <v>637</v>
      </c>
      <c r="H281" s="9" t="s">
        <v>308</v>
      </c>
      <c r="I281" s="10">
        <v>610</v>
      </c>
      <c r="J281" s="10">
        <v>550</v>
      </c>
      <c r="K281" s="10">
        <v>550</v>
      </c>
      <c r="L281" s="10">
        <v>514.95000000000005</v>
      </c>
      <c r="M281" s="10">
        <v>503</v>
      </c>
      <c r="N281" s="10"/>
      <c r="O281" s="10"/>
      <c r="P281" s="10"/>
      <c r="Q281" s="10"/>
      <c r="R281" s="10"/>
      <c r="T281" s="10">
        <f t="shared" si="84"/>
        <v>610</v>
      </c>
    </row>
    <row r="282" spans="2:20" x14ac:dyDescent="0.25">
      <c r="B282" s="97">
        <f t="shared" si="87"/>
        <v>129</v>
      </c>
      <c r="C282" s="29"/>
      <c r="D282" s="29"/>
      <c r="E282" s="29"/>
      <c r="F282" s="53" t="s">
        <v>302</v>
      </c>
      <c r="G282" s="125">
        <v>710</v>
      </c>
      <c r="H282" s="29" t="s">
        <v>321</v>
      </c>
      <c r="I282" s="15"/>
      <c r="J282" s="15"/>
      <c r="K282" s="15"/>
      <c r="L282" s="15"/>
      <c r="M282" s="15"/>
      <c r="N282" s="15">
        <f>N283</f>
        <v>13000</v>
      </c>
      <c r="O282" s="15"/>
      <c r="P282" s="15"/>
      <c r="Q282" s="15">
        <f t="shared" ref="Q282:Q283" si="110">Q283</f>
        <v>11333</v>
      </c>
      <c r="R282" s="15"/>
      <c r="T282" s="15">
        <f t="shared" si="84"/>
        <v>13000</v>
      </c>
    </row>
    <row r="283" spans="2:20" x14ac:dyDescent="0.25">
      <c r="B283" s="97">
        <f t="shared" si="87"/>
        <v>130</v>
      </c>
      <c r="C283" s="9"/>
      <c r="D283" s="9"/>
      <c r="E283" s="9"/>
      <c r="F283" s="54" t="s">
        <v>302</v>
      </c>
      <c r="G283" s="126">
        <v>714</v>
      </c>
      <c r="H283" s="9" t="s">
        <v>368</v>
      </c>
      <c r="I283" s="10"/>
      <c r="J283" s="10"/>
      <c r="K283" s="10"/>
      <c r="L283" s="10"/>
      <c r="M283" s="10"/>
      <c r="N283" s="10">
        <f>N284</f>
        <v>13000</v>
      </c>
      <c r="O283" s="10"/>
      <c r="P283" s="10"/>
      <c r="Q283" s="10">
        <f t="shared" si="110"/>
        <v>11333</v>
      </c>
      <c r="R283" s="10"/>
      <c r="T283" s="10">
        <f t="shared" si="84"/>
        <v>13000</v>
      </c>
    </row>
    <row r="284" spans="2:20" x14ac:dyDescent="0.25">
      <c r="B284" s="97">
        <f t="shared" si="87"/>
        <v>131</v>
      </c>
      <c r="C284" s="12"/>
      <c r="D284" s="12"/>
      <c r="E284" s="12"/>
      <c r="F284" s="12"/>
      <c r="G284" s="127"/>
      <c r="H284" s="12" t="s">
        <v>369</v>
      </c>
      <c r="I284" s="13"/>
      <c r="J284" s="13"/>
      <c r="K284" s="13"/>
      <c r="L284" s="13"/>
      <c r="M284" s="13"/>
      <c r="N284" s="13">
        <v>13000</v>
      </c>
      <c r="O284" s="13"/>
      <c r="P284" s="13"/>
      <c r="Q284" s="13">
        <v>11333</v>
      </c>
      <c r="R284" s="13"/>
      <c r="T284" s="13">
        <f t="shared" ref="T284" si="111">I284+N284</f>
        <v>13000</v>
      </c>
    </row>
    <row r="288" spans="2:20" ht="27" x14ac:dyDescent="0.35">
      <c r="B288" s="310" t="s">
        <v>370</v>
      </c>
      <c r="C288" s="311"/>
      <c r="D288" s="311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</row>
    <row r="289" spans="2:20" ht="15.75" customHeight="1" x14ac:dyDescent="0.25">
      <c r="B289" s="279" t="s">
        <v>286</v>
      </c>
      <c r="C289" s="280"/>
      <c r="D289" s="280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1"/>
      <c r="T289" s="314" t="s">
        <v>937</v>
      </c>
    </row>
    <row r="290" spans="2:20" ht="12.75" customHeight="1" x14ac:dyDescent="0.25">
      <c r="B290" s="282"/>
      <c r="C290" s="285" t="s">
        <v>287</v>
      </c>
      <c r="D290" s="285" t="s">
        <v>288</v>
      </c>
      <c r="E290" s="285" t="s">
        <v>289</v>
      </c>
      <c r="F290" s="285" t="s">
        <v>290</v>
      </c>
      <c r="G290" s="303" t="s">
        <v>291</v>
      </c>
      <c r="H290" s="305" t="s">
        <v>292</v>
      </c>
      <c r="I290" s="308" t="s">
        <v>935</v>
      </c>
      <c r="J290" s="299" t="s">
        <v>293</v>
      </c>
      <c r="K290" s="299" t="s">
        <v>294</v>
      </c>
      <c r="L290" s="288" t="s">
        <v>295</v>
      </c>
      <c r="M290" s="288" t="s">
        <v>296</v>
      </c>
      <c r="N290" s="301" t="s">
        <v>936</v>
      </c>
      <c r="O290" s="297" t="s">
        <v>297</v>
      </c>
      <c r="P290" s="299" t="s">
        <v>772</v>
      </c>
      <c r="Q290" s="288" t="s">
        <v>298</v>
      </c>
      <c r="R290" s="288" t="s">
        <v>299</v>
      </c>
      <c r="T290" s="314"/>
    </row>
    <row r="291" spans="2:20" x14ac:dyDescent="0.25">
      <c r="B291" s="283"/>
      <c r="C291" s="286"/>
      <c r="D291" s="286"/>
      <c r="E291" s="286"/>
      <c r="F291" s="286"/>
      <c r="G291" s="303"/>
      <c r="H291" s="306"/>
      <c r="I291" s="308"/>
      <c r="J291" s="299"/>
      <c r="K291" s="299"/>
      <c r="L291" s="288"/>
      <c r="M291" s="288"/>
      <c r="N291" s="301"/>
      <c r="O291" s="297"/>
      <c r="P291" s="299"/>
      <c r="Q291" s="288"/>
      <c r="R291" s="288"/>
      <c r="T291" s="314"/>
    </row>
    <row r="292" spans="2:20" x14ac:dyDescent="0.25">
      <c r="B292" s="283"/>
      <c r="C292" s="286"/>
      <c r="D292" s="286"/>
      <c r="E292" s="286"/>
      <c r="F292" s="286"/>
      <c r="G292" s="303"/>
      <c r="H292" s="306"/>
      <c r="I292" s="308"/>
      <c r="J292" s="299"/>
      <c r="K292" s="299"/>
      <c r="L292" s="288"/>
      <c r="M292" s="288"/>
      <c r="N292" s="301"/>
      <c r="O292" s="297"/>
      <c r="P292" s="299"/>
      <c r="Q292" s="288"/>
      <c r="R292" s="288"/>
      <c r="T292" s="314"/>
    </row>
    <row r="293" spans="2:20" ht="12.75" customHeight="1" thickBot="1" x14ac:dyDescent="0.3">
      <c r="B293" s="284"/>
      <c r="C293" s="287"/>
      <c r="D293" s="287"/>
      <c r="E293" s="287"/>
      <c r="F293" s="287"/>
      <c r="G293" s="304"/>
      <c r="H293" s="307"/>
      <c r="I293" s="309"/>
      <c r="J293" s="300"/>
      <c r="K293" s="300"/>
      <c r="L293" s="289"/>
      <c r="M293" s="289"/>
      <c r="N293" s="302"/>
      <c r="O293" s="298"/>
      <c r="P293" s="300"/>
      <c r="Q293" s="289"/>
      <c r="R293" s="289"/>
      <c r="T293" s="314"/>
    </row>
    <row r="294" spans="2:20" ht="16.5" thickTop="1" x14ac:dyDescent="0.25">
      <c r="B294" s="98">
        <v>1</v>
      </c>
      <c r="C294" s="290" t="s">
        <v>370</v>
      </c>
      <c r="D294" s="291"/>
      <c r="E294" s="291"/>
      <c r="F294" s="291"/>
      <c r="G294" s="291"/>
      <c r="H294" s="292"/>
      <c r="I294" s="44">
        <f>I295+I303+I317+I330+I339+I359+I381</f>
        <v>540575</v>
      </c>
      <c r="J294" s="44">
        <f>J381+J359+J339+J330+J317+J303+J295</f>
        <v>502500</v>
      </c>
      <c r="K294" s="44">
        <f>K381+K359+K339+K330+K317+K303+K295</f>
        <v>506040</v>
      </c>
      <c r="L294" s="44">
        <f>L381+L359+L339+L330+L317+L303+L295</f>
        <v>432389.56000000006</v>
      </c>
      <c r="M294" s="44">
        <f>M381+M359+M339+M330+M317+M303+M295</f>
        <v>434758.77</v>
      </c>
      <c r="N294" s="44">
        <f>N295+N303+N317+N330+N339+N359+N381</f>
        <v>20962</v>
      </c>
      <c r="O294" s="44">
        <f>O381+O359+O339+O330+O317+O303+O295</f>
        <v>34212</v>
      </c>
      <c r="P294" s="44">
        <f>P381+P359+P339+P330+P317+P303+P295</f>
        <v>60962</v>
      </c>
      <c r="Q294" s="44">
        <f>Q381+Q359+Q339+Q330+Q317+Q303+Q295</f>
        <v>102687</v>
      </c>
      <c r="R294" s="44">
        <f>R381+R359+R339+R330+R317+R303+R295</f>
        <v>247347</v>
      </c>
      <c r="T294" s="44">
        <f>N294+I294</f>
        <v>561537</v>
      </c>
    </row>
    <row r="295" spans="2:20" ht="15.75" x14ac:dyDescent="0.25">
      <c r="B295" s="97">
        <f>B294+1</f>
        <v>2</v>
      </c>
      <c r="C295" s="45">
        <v>1</v>
      </c>
      <c r="D295" s="293" t="s">
        <v>371</v>
      </c>
      <c r="E295" s="294"/>
      <c r="F295" s="294"/>
      <c r="G295" s="294"/>
      <c r="H295" s="295"/>
      <c r="I295" s="46">
        <f>I299+I300</f>
        <v>27500</v>
      </c>
      <c r="J295" s="46">
        <f t="shared" ref="J295:M297" si="112">J296</f>
        <v>27500</v>
      </c>
      <c r="K295" s="46">
        <f t="shared" si="112"/>
        <v>27500</v>
      </c>
      <c r="L295" s="46">
        <f t="shared" si="112"/>
        <v>24220.9</v>
      </c>
      <c r="M295" s="46">
        <f t="shared" si="112"/>
        <v>23767</v>
      </c>
      <c r="N295" s="46">
        <v>0</v>
      </c>
      <c r="O295" s="46">
        <f t="shared" ref="O295:R297" si="113">O296</f>
        <v>0</v>
      </c>
      <c r="P295" s="46">
        <f t="shared" si="113"/>
        <v>0</v>
      </c>
      <c r="Q295" s="46">
        <f t="shared" si="113"/>
        <v>0</v>
      </c>
      <c r="R295" s="46">
        <f t="shared" si="113"/>
        <v>0</v>
      </c>
      <c r="T295" s="46">
        <f t="shared" ref="T295:T358" si="114">N295+I295</f>
        <v>27500</v>
      </c>
    </row>
    <row r="296" spans="2:20" hidden="1" x14ac:dyDescent="0.25">
      <c r="B296" s="97">
        <f t="shared" ref="B296:B359" si="115">B295+1</f>
        <v>3</v>
      </c>
      <c r="C296" s="47"/>
      <c r="D296" s="47" t="s">
        <v>60</v>
      </c>
      <c r="E296" s="296"/>
      <c r="F296" s="294"/>
      <c r="G296" s="294"/>
      <c r="H296" s="295"/>
      <c r="I296" s="48" t="e">
        <f>#REF!+#REF!</f>
        <v>#REF!</v>
      </c>
      <c r="J296" s="48">
        <f t="shared" si="112"/>
        <v>27500</v>
      </c>
      <c r="K296" s="48">
        <f t="shared" si="112"/>
        <v>27500</v>
      </c>
      <c r="L296" s="48">
        <f t="shared" si="112"/>
        <v>24220.9</v>
      </c>
      <c r="M296" s="48">
        <f t="shared" si="112"/>
        <v>23767</v>
      </c>
      <c r="N296" s="48" t="e">
        <f>#REF!+#REF!</f>
        <v>#REF!</v>
      </c>
      <c r="O296" s="48">
        <f t="shared" si="113"/>
        <v>0</v>
      </c>
      <c r="P296" s="48">
        <f t="shared" si="113"/>
        <v>0</v>
      </c>
      <c r="Q296" s="48">
        <f t="shared" si="113"/>
        <v>0</v>
      </c>
      <c r="R296" s="48">
        <f t="shared" si="113"/>
        <v>0</v>
      </c>
      <c r="T296" s="48" t="e">
        <f t="shared" si="114"/>
        <v>#REF!</v>
      </c>
    </row>
    <row r="297" spans="2:20" hidden="1" x14ac:dyDescent="0.25">
      <c r="B297" s="97">
        <f t="shared" si="115"/>
        <v>4</v>
      </c>
      <c r="C297" s="49"/>
      <c r="D297" s="49"/>
      <c r="E297" s="49"/>
      <c r="F297" s="49"/>
      <c r="G297" s="123"/>
      <c r="H297" s="49" t="s">
        <v>12</v>
      </c>
      <c r="I297" s="50" t="e">
        <f>#REF!+#REF!</f>
        <v>#REF!</v>
      </c>
      <c r="J297" s="50">
        <f t="shared" si="112"/>
        <v>27500</v>
      </c>
      <c r="K297" s="50">
        <f t="shared" si="112"/>
        <v>27500</v>
      </c>
      <c r="L297" s="50">
        <f t="shared" si="112"/>
        <v>24220.9</v>
      </c>
      <c r="M297" s="50">
        <f t="shared" si="112"/>
        <v>23767</v>
      </c>
      <c r="N297" s="50" t="e">
        <f>#REF!+#REF!</f>
        <v>#REF!</v>
      </c>
      <c r="O297" s="50">
        <f t="shared" si="113"/>
        <v>0</v>
      </c>
      <c r="P297" s="50">
        <f t="shared" si="113"/>
        <v>0</v>
      </c>
      <c r="Q297" s="50">
        <f t="shared" si="113"/>
        <v>0</v>
      </c>
      <c r="R297" s="50">
        <f t="shared" si="113"/>
        <v>0</v>
      </c>
      <c r="T297" s="50" t="e">
        <f t="shared" si="114"/>
        <v>#REF!</v>
      </c>
    </row>
    <row r="298" spans="2:20" hidden="1" x14ac:dyDescent="0.25">
      <c r="B298" s="97">
        <f t="shared" si="115"/>
        <v>5</v>
      </c>
      <c r="C298" s="51"/>
      <c r="D298" s="51"/>
      <c r="E298" s="51" t="s">
        <v>60</v>
      </c>
      <c r="F298" s="51"/>
      <c r="G298" s="124"/>
      <c r="H298" s="51"/>
      <c r="I298" s="52" t="e">
        <f>#REF!+#REF!</f>
        <v>#REF!</v>
      </c>
      <c r="J298" s="52">
        <f t="shared" ref="J298:R298" si="116">J300+J299</f>
        <v>27500</v>
      </c>
      <c r="K298" s="52">
        <f t="shared" si="116"/>
        <v>27500</v>
      </c>
      <c r="L298" s="52">
        <f t="shared" si="116"/>
        <v>24220.9</v>
      </c>
      <c r="M298" s="52">
        <f t="shared" si="116"/>
        <v>23767</v>
      </c>
      <c r="N298" s="52" t="e">
        <f>#REF!+#REF!</f>
        <v>#REF!</v>
      </c>
      <c r="O298" s="52">
        <f t="shared" si="116"/>
        <v>0</v>
      </c>
      <c r="P298" s="52">
        <f t="shared" si="116"/>
        <v>0</v>
      </c>
      <c r="Q298" s="52">
        <f t="shared" si="116"/>
        <v>0</v>
      </c>
      <c r="R298" s="52">
        <f t="shared" si="116"/>
        <v>0</v>
      </c>
      <c r="T298" s="52" t="e">
        <f t="shared" si="114"/>
        <v>#REF!</v>
      </c>
    </row>
    <row r="299" spans="2:20" x14ac:dyDescent="0.25">
      <c r="B299" s="97">
        <f t="shared" si="115"/>
        <v>6</v>
      </c>
      <c r="C299" s="29"/>
      <c r="D299" s="29"/>
      <c r="E299" s="29"/>
      <c r="F299" s="53" t="s">
        <v>343</v>
      </c>
      <c r="G299" s="125">
        <v>620</v>
      </c>
      <c r="H299" s="29" t="s">
        <v>313</v>
      </c>
      <c r="I299" s="15">
        <v>3900</v>
      </c>
      <c r="J299" s="15">
        <v>3900</v>
      </c>
      <c r="K299" s="15">
        <v>3900</v>
      </c>
      <c r="L299" s="15">
        <v>3535</v>
      </c>
      <c r="M299" s="15">
        <v>3449</v>
      </c>
      <c r="N299" s="15"/>
      <c r="O299" s="15"/>
      <c r="P299" s="15"/>
      <c r="Q299" s="15"/>
      <c r="R299" s="15"/>
      <c r="T299" s="15">
        <f t="shared" si="114"/>
        <v>3900</v>
      </c>
    </row>
    <row r="300" spans="2:20" x14ac:dyDescent="0.25">
      <c r="B300" s="97">
        <f t="shared" si="115"/>
        <v>7</v>
      </c>
      <c r="C300" s="29"/>
      <c r="D300" s="29"/>
      <c r="E300" s="29"/>
      <c r="F300" s="53" t="s">
        <v>343</v>
      </c>
      <c r="G300" s="125">
        <v>630</v>
      </c>
      <c r="H300" s="29" t="s">
        <v>303</v>
      </c>
      <c r="I300" s="15">
        <f>SUM(I301:I302)</f>
        <v>23600</v>
      </c>
      <c r="J300" s="15">
        <f t="shared" ref="J300:M300" si="117">J302+J301</f>
        <v>23600</v>
      </c>
      <c r="K300" s="15">
        <f t="shared" si="117"/>
        <v>23600</v>
      </c>
      <c r="L300" s="15">
        <f t="shared" si="117"/>
        <v>20685.900000000001</v>
      </c>
      <c r="M300" s="15">
        <f t="shared" si="117"/>
        <v>20318</v>
      </c>
      <c r="N300" s="15"/>
      <c r="O300" s="15"/>
      <c r="P300" s="15"/>
      <c r="Q300" s="15"/>
      <c r="R300" s="15"/>
      <c r="T300" s="15">
        <f t="shared" si="114"/>
        <v>23600</v>
      </c>
    </row>
    <row r="301" spans="2:20" x14ac:dyDescent="0.25">
      <c r="B301" s="97">
        <f t="shared" si="115"/>
        <v>8</v>
      </c>
      <c r="C301" s="9"/>
      <c r="D301" s="9"/>
      <c r="E301" s="9"/>
      <c r="F301" s="54" t="s">
        <v>343</v>
      </c>
      <c r="G301" s="126">
        <v>633</v>
      </c>
      <c r="H301" s="9" t="s">
        <v>305</v>
      </c>
      <c r="I301" s="10">
        <v>3100</v>
      </c>
      <c r="J301" s="10">
        <v>3100</v>
      </c>
      <c r="K301" s="10">
        <v>3100</v>
      </c>
      <c r="L301" s="10">
        <v>3233</v>
      </c>
      <c r="M301" s="10">
        <v>2665</v>
      </c>
      <c r="N301" s="10"/>
      <c r="O301" s="10"/>
      <c r="P301" s="10"/>
      <c r="Q301" s="10"/>
      <c r="R301" s="10"/>
      <c r="T301" s="10">
        <f t="shared" si="114"/>
        <v>3100</v>
      </c>
    </row>
    <row r="302" spans="2:20" x14ac:dyDescent="0.25">
      <c r="B302" s="97">
        <f t="shared" si="115"/>
        <v>9</v>
      </c>
      <c r="C302" s="9"/>
      <c r="D302" s="9"/>
      <c r="E302" s="9"/>
      <c r="F302" s="54" t="s">
        <v>343</v>
      </c>
      <c r="G302" s="126">
        <v>637</v>
      </c>
      <c r="H302" s="9" t="s">
        <v>308</v>
      </c>
      <c r="I302" s="10">
        <v>20500</v>
      </c>
      <c r="J302" s="10">
        <v>20500</v>
      </c>
      <c r="K302" s="10">
        <v>20500</v>
      </c>
      <c r="L302" s="10">
        <v>17452.900000000001</v>
      </c>
      <c r="M302" s="10">
        <v>17653</v>
      </c>
      <c r="N302" s="10"/>
      <c r="O302" s="10"/>
      <c r="P302" s="10"/>
      <c r="Q302" s="10"/>
      <c r="R302" s="10"/>
      <c r="T302" s="10">
        <f t="shared" si="114"/>
        <v>20500</v>
      </c>
    </row>
    <row r="303" spans="2:20" ht="15.75" x14ac:dyDescent="0.25">
      <c r="B303" s="97">
        <f t="shared" si="115"/>
        <v>10</v>
      </c>
      <c r="C303" s="45">
        <v>2</v>
      </c>
      <c r="D303" s="293" t="s">
        <v>372</v>
      </c>
      <c r="E303" s="294"/>
      <c r="F303" s="294"/>
      <c r="G303" s="294"/>
      <c r="H303" s="295"/>
      <c r="I303" s="46">
        <f>I307+I308+I309+I315</f>
        <v>99400</v>
      </c>
      <c r="J303" s="46">
        <f t="shared" ref="J303:M305" si="118">J304</f>
        <v>89200</v>
      </c>
      <c r="K303" s="46">
        <f t="shared" si="118"/>
        <v>100485</v>
      </c>
      <c r="L303" s="46">
        <f t="shared" si="118"/>
        <v>86115.010000000009</v>
      </c>
      <c r="M303" s="46">
        <f t="shared" si="118"/>
        <v>78156.63</v>
      </c>
      <c r="N303" s="46">
        <v>0</v>
      </c>
      <c r="O303" s="46">
        <f t="shared" ref="O303:R305" si="119">O304</f>
        <v>0</v>
      </c>
      <c r="P303" s="46">
        <f t="shared" si="119"/>
        <v>0</v>
      </c>
      <c r="Q303" s="46">
        <f t="shared" si="119"/>
        <v>0</v>
      </c>
      <c r="R303" s="46">
        <f t="shared" si="119"/>
        <v>0</v>
      </c>
      <c r="T303" s="46">
        <f t="shared" si="114"/>
        <v>99400</v>
      </c>
    </row>
    <row r="304" spans="2:20" hidden="1" x14ac:dyDescent="0.25">
      <c r="B304" s="97">
        <f t="shared" si="115"/>
        <v>11</v>
      </c>
      <c r="C304" s="47"/>
      <c r="D304" s="47" t="s">
        <v>60</v>
      </c>
      <c r="E304" s="296"/>
      <c r="F304" s="294"/>
      <c r="G304" s="294"/>
      <c r="H304" s="295"/>
      <c r="I304" s="48" t="e">
        <f>#REF!+#REF!</f>
        <v>#REF!</v>
      </c>
      <c r="J304" s="48">
        <f t="shared" si="118"/>
        <v>89200</v>
      </c>
      <c r="K304" s="48">
        <f t="shared" si="118"/>
        <v>100485</v>
      </c>
      <c r="L304" s="48">
        <f t="shared" si="118"/>
        <v>86115.010000000009</v>
      </c>
      <c r="M304" s="48">
        <f t="shared" si="118"/>
        <v>78156.63</v>
      </c>
      <c r="N304" s="48" t="e">
        <f>#REF!+#REF!</f>
        <v>#REF!</v>
      </c>
      <c r="O304" s="48">
        <f t="shared" si="119"/>
        <v>0</v>
      </c>
      <c r="P304" s="48">
        <f t="shared" si="119"/>
        <v>0</v>
      </c>
      <c r="Q304" s="48">
        <f t="shared" si="119"/>
        <v>0</v>
      </c>
      <c r="R304" s="48">
        <f t="shared" si="119"/>
        <v>0</v>
      </c>
      <c r="T304" s="48" t="e">
        <f t="shared" si="114"/>
        <v>#REF!</v>
      </c>
    </row>
    <row r="305" spans="2:20" hidden="1" x14ac:dyDescent="0.25">
      <c r="B305" s="97">
        <f t="shared" si="115"/>
        <v>12</v>
      </c>
      <c r="C305" s="49"/>
      <c r="D305" s="49"/>
      <c r="E305" s="49"/>
      <c r="F305" s="49"/>
      <c r="G305" s="123"/>
      <c r="H305" s="49" t="s">
        <v>12</v>
      </c>
      <c r="I305" s="50" t="e">
        <f>#REF!+#REF!</f>
        <v>#REF!</v>
      </c>
      <c r="J305" s="50">
        <f t="shared" si="118"/>
        <v>89200</v>
      </c>
      <c r="K305" s="50">
        <f t="shared" si="118"/>
        <v>100485</v>
      </c>
      <c r="L305" s="50">
        <f t="shared" si="118"/>
        <v>86115.010000000009</v>
      </c>
      <c r="M305" s="50">
        <f t="shared" si="118"/>
        <v>78156.63</v>
      </c>
      <c r="N305" s="50" t="e">
        <f>#REF!+#REF!</f>
        <v>#REF!</v>
      </c>
      <c r="O305" s="50">
        <f t="shared" si="119"/>
        <v>0</v>
      </c>
      <c r="P305" s="50">
        <f t="shared" si="119"/>
        <v>0</v>
      </c>
      <c r="Q305" s="50">
        <f t="shared" si="119"/>
        <v>0</v>
      </c>
      <c r="R305" s="50">
        <f t="shared" si="119"/>
        <v>0</v>
      </c>
      <c r="T305" s="50" t="e">
        <f t="shared" si="114"/>
        <v>#REF!</v>
      </c>
    </row>
    <row r="306" spans="2:20" hidden="1" x14ac:dyDescent="0.25">
      <c r="B306" s="97">
        <f t="shared" si="115"/>
        <v>13</v>
      </c>
      <c r="C306" s="51"/>
      <c r="D306" s="51"/>
      <c r="E306" s="51" t="s">
        <v>60</v>
      </c>
      <c r="F306" s="51"/>
      <c r="G306" s="124"/>
      <c r="H306" s="51"/>
      <c r="I306" s="52" t="e">
        <f>#REF!+#REF!</f>
        <v>#REF!</v>
      </c>
      <c r="J306" s="52">
        <f t="shared" ref="J306:R306" si="120">J315+J309+J308+J307</f>
        <v>89200</v>
      </c>
      <c r="K306" s="52">
        <f t="shared" si="120"/>
        <v>100485</v>
      </c>
      <c r="L306" s="52">
        <f t="shared" si="120"/>
        <v>86115.010000000009</v>
      </c>
      <c r="M306" s="52">
        <f t="shared" si="120"/>
        <v>78156.63</v>
      </c>
      <c r="N306" s="52" t="e">
        <f>#REF!+#REF!</f>
        <v>#REF!</v>
      </c>
      <c r="O306" s="52">
        <f t="shared" si="120"/>
        <v>0</v>
      </c>
      <c r="P306" s="52">
        <f t="shared" si="120"/>
        <v>0</v>
      </c>
      <c r="Q306" s="52">
        <f t="shared" si="120"/>
        <v>0</v>
      </c>
      <c r="R306" s="52">
        <f t="shared" si="120"/>
        <v>0</v>
      </c>
      <c r="T306" s="52" t="e">
        <f t="shared" si="114"/>
        <v>#REF!</v>
      </c>
    </row>
    <row r="307" spans="2:20" x14ac:dyDescent="0.25">
      <c r="B307" s="97">
        <f t="shared" si="115"/>
        <v>14</v>
      </c>
      <c r="C307" s="29"/>
      <c r="D307" s="29"/>
      <c r="E307" s="29"/>
      <c r="F307" s="53" t="s">
        <v>373</v>
      </c>
      <c r="G307" s="125">
        <v>610</v>
      </c>
      <c r="H307" s="29" t="s">
        <v>338</v>
      </c>
      <c r="I307" s="15">
        <v>61700</v>
      </c>
      <c r="J307" s="15">
        <v>56000</v>
      </c>
      <c r="K307" s="15">
        <v>59800</v>
      </c>
      <c r="L307" s="15">
        <v>52010.65</v>
      </c>
      <c r="M307" s="15">
        <v>47954.52</v>
      </c>
      <c r="N307" s="15"/>
      <c r="O307" s="15"/>
      <c r="P307" s="15"/>
      <c r="Q307" s="15"/>
      <c r="R307" s="15"/>
      <c r="T307" s="15">
        <f t="shared" si="114"/>
        <v>61700</v>
      </c>
    </row>
    <row r="308" spans="2:20" x14ac:dyDescent="0.25">
      <c r="B308" s="97">
        <f t="shared" si="115"/>
        <v>15</v>
      </c>
      <c r="C308" s="29"/>
      <c r="D308" s="29"/>
      <c r="E308" s="29"/>
      <c r="F308" s="53" t="s">
        <v>373</v>
      </c>
      <c r="G308" s="125">
        <v>620</v>
      </c>
      <c r="H308" s="29" t="s">
        <v>313</v>
      </c>
      <c r="I308" s="15">
        <v>23800</v>
      </c>
      <c r="J308" s="15">
        <v>20900</v>
      </c>
      <c r="K308" s="15">
        <v>22672</v>
      </c>
      <c r="L308" s="15">
        <v>20355.009999999998</v>
      </c>
      <c r="M308" s="15">
        <v>19375.080000000002</v>
      </c>
      <c r="N308" s="15"/>
      <c r="O308" s="15"/>
      <c r="P308" s="15"/>
      <c r="Q308" s="15"/>
      <c r="R308" s="15"/>
      <c r="T308" s="15">
        <f t="shared" si="114"/>
        <v>23800</v>
      </c>
    </row>
    <row r="309" spans="2:20" x14ac:dyDescent="0.25">
      <c r="B309" s="97">
        <f t="shared" si="115"/>
        <v>16</v>
      </c>
      <c r="C309" s="29"/>
      <c r="D309" s="29"/>
      <c r="E309" s="29"/>
      <c r="F309" s="53" t="s">
        <v>373</v>
      </c>
      <c r="G309" s="125">
        <v>630</v>
      </c>
      <c r="H309" s="29" t="s">
        <v>303</v>
      </c>
      <c r="I309" s="15">
        <f>SUM(I310:I314)</f>
        <v>13600</v>
      </c>
      <c r="J309" s="15">
        <f t="shared" ref="J309:M309" si="121">J314+J313+J312+J311+J310</f>
        <v>12100</v>
      </c>
      <c r="K309" s="15">
        <f t="shared" si="121"/>
        <v>17813</v>
      </c>
      <c r="L309" s="15">
        <f t="shared" si="121"/>
        <v>13749.35</v>
      </c>
      <c r="M309" s="15">
        <f t="shared" si="121"/>
        <v>10777.03</v>
      </c>
      <c r="N309" s="15"/>
      <c r="O309" s="15"/>
      <c r="P309" s="15"/>
      <c r="Q309" s="15"/>
      <c r="R309" s="15"/>
      <c r="T309" s="15">
        <f t="shared" si="114"/>
        <v>13600</v>
      </c>
    </row>
    <row r="310" spans="2:20" x14ac:dyDescent="0.25">
      <c r="B310" s="97">
        <f t="shared" si="115"/>
        <v>17</v>
      </c>
      <c r="C310" s="9"/>
      <c r="D310" s="9"/>
      <c r="E310" s="9"/>
      <c r="F310" s="54" t="s">
        <v>373</v>
      </c>
      <c r="G310" s="126">
        <v>631</v>
      </c>
      <c r="H310" s="9" t="s">
        <v>304</v>
      </c>
      <c r="I310" s="10">
        <v>500</v>
      </c>
      <c r="J310" s="10">
        <v>500</v>
      </c>
      <c r="K310" s="10">
        <v>500</v>
      </c>
      <c r="L310" s="10">
        <v>76.62</v>
      </c>
      <c r="M310" s="10">
        <v>250.52</v>
      </c>
      <c r="N310" s="10"/>
      <c r="O310" s="10"/>
      <c r="P310" s="10"/>
      <c r="Q310" s="10"/>
      <c r="R310" s="10"/>
      <c r="T310" s="10">
        <f t="shared" si="114"/>
        <v>500</v>
      </c>
    </row>
    <row r="311" spans="2:20" x14ac:dyDescent="0.25">
      <c r="B311" s="97">
        <f t="shared" si="115"/>
        <v>18</v>
      </c>
      <c r="C311" s="9"/>
      <c r="D311" s="9"/>
      <c r="E311" s="9"/>
      <c r="F311" s="54" t="s">
        <v>373</v>
      </c>
      <c r="G311" s="126">
        <v>632</v>
      </c>
      <c r="H311" s="9" t="s">
        <v>314</v>
      </c>
      <c r="I311" s="10">
        <v>1800</v>
      </c>
      <c r="J311" s="10">
        <v>1800</v>
      </c>
      <c r="K311" s="10">
        <v>1800</v>
      </c>
      <c r="L311" s="10">
        <v>2661</v>
      </c>
      <c r="M311" s="10">
        <v>1555.85</v>
      </c>
      <c r="N311" s="10"/>
      <c r="O311" s="10"/>
      <c r="P311" s="10"/>
      <c r="Q311" s="10"/>
      <c r="R311" s="10"/>
      <c r="T311" s="10">
        <f t="shared" si="114"/>
        <v>1800</v>
      </c>
    </row>
    <row r="312" spans="2:20" x14ac:dyDescent="0.25">
      <c r="B312" s="97">
        <f t="shared" si="115"/>
        <v>19</v>
      </c>
      <c r="C312" s="9"/>
      <c r="D312" s="9"/>
      <c r="E312" s="9"/>
      <c r="F312" s="54" t="s">
        <v>373</v>
      </c>
      <c r="G312" s="126">
        <v>633</v>
      </c>
      <c r="H312" s="9" t="s">
        <v>305</v>
      </c>
      <c r="I312" s="10">
        <v>4300</v>
      </c>
      <c r="J312" s="10">
        <v>2800</v>
      </c>
      <c r="K312" s="10">
        <v>7162</v>
      </c>
      <c r="L312" s="10">
        <v>4725.68</v>
      </c>
      <c r="M312" s="10">
        <v>2998.52</v>
      </c>
      <c r="N312" s="10"/>
      <c r="O312" s="10"/>
      <c r="P312" s="10"/>
      <c r="Q312" s="10"/>
      <c r="R312" s="10"/>
      <c r="T312" s="10">
        <f t="shared" si="114"/>
        <v>4300</v>
      </c>
    </row>
    <row r="313" spans="2:20" x14ac:dyDescent="0.25">
      <c r="B313" s="97">
        <f t="shared" si="115"/>
        <v>20</v>
      </c>
      <c r="C313" s="9"/>
      <c r="D313" s="9"/>
      <c r="E313" s="9"/>
      <c r="F313" s="54" t="s">
        <v>373</v>
      </c>
      <c r="G313" s="126">
        <v>635</v>
      </c>
      <c r="H313" s="9" t="s">
        <v>320</v>
      </c>
      <c r="I313" s="10">
        <v>100</v>
      </c>
      <c r="J313" s="10">
        <v>100</v>
      </c>
      <c r="K313" s="10">
        <v>100</v>
      </c>
      <c r="L313" s="10">
        <v>48</v>
      </c>
      <c r="M313" s="10">
        <v>84</v>
      </c>
      <c r="N313" s="10"/>
      <c r="O313" s="10"/>
      <c r="P313" s="10"/>
      <c r="Q313" s="10"/>
      <c r="R313" s="10"/>
      <c r="T313" s="10">
        <f t="shared" si="114"/>
        <v>100</v>
      </c>
    </row>
    <row r="314" spans="2:20" x14ac:dyDescent="0.25">
      <c r="B314" s="97">
        <f t="shared" si="115"/>
        <v>21</v>
      </c>
      <c r="C314" s="9"/>
      <c r="D314" s="9"/>
      <c r="E314" s="9"/>
      <c r="F314" s="54" t="s">
        <v>373</v>
      </c>
      <c r="G314" s="126">
        <v>637</v>
      </c>
      <c r="H314" s="9" t="s">
        <v>308</v>
      </c>
      <c r="I314" s="10">
        <v>6900</v>
      </c>
      <c r="J314" s="10">
        <v>6900</v>
      </c>
      <c r="K314" s="10">
        <f>7100+1151</f>
        <v>8251</v>
      </c>
      <c r="L314" s="10">
        <v>6238.05</v>
      </c>
      <c r="M314" s="10">
        <v>5888.14</v>
      </c>
      <c r="N314" s="10"/>
      <c r="O314" s="10"/>
      <c r="P314" s="10"/>
      <c r="Q314" s="10"/>
      <c r="R314" s="10"/>
      <c r="T314" s="10">
        <f t="shared" si="114"/>
        <v>6900</v>
      </c>
    </row>
    <row r="315" spans="2:20" x14ac:dyDescent="0.25">
      <c r="B315" s="97">
        <f t="shared" si="115"/>
        <v>22</v>
      </c>
      <c r="C315" s="29"/>
      <c r="D315" s="29"/>
      <c r="E315" s="29"/>
      <c r="F315" s="53" t="s">
        <v>373</v>
      </c>
      <c r="G315" s="125">
        <v>640</v>
      </c>
      <c r="H315" s="29" t="s">
        <v>315</v>
      </c>
      <c r="I315" s="15">
        <f>I316</f>
        <v>300</v>
      </c>
      <c r="J315" s="15">
        <f t="shared" ref="J315:M315" si="122">J316</f>
        <v>200</v>
      </c>
      <c r="K315" s="15">
        <f t="shared" si="122"/>
        <v>200</v>
      </c>
      <c r="L315" s="15">
        <f t="shared" si="122"/>
        <v>0</v>
      </c>
      <c r="M315" s="15">
        <f t="shared" si="122"/>
        <v>50</v>
      </c>
      <c r="N315" s="15"/>
      <c r="O315" s="15"/>
      <c r="P315" s="15"/>
      <c r="Q315" s="15"/>
      <c r="R315" s="15"/>
      <c r="T315" s="15">
        <f t="shared" si="114"/>
        <v>300</v>
      </c>
    </row>
    <row r="316" spans="2:20" x14ac:dyDescent="0.25">
      <c r="B316" s="97">
        <f t="shared" si="115"/>
        <v>23</v>
      </c>
      <c r="C316" s="9"/>
      <c r="D316" s="9"/>
      <c r="E316" s="9"/>
      <c r="F316" s="54" t="s">
        <v>373</v>
      </c>
      <c r="G316" s="126">
        <v>642</v>
      </c>
      <c r="H316" s="9" t="s">
        <v>316</v>
      </c>
      <c r="I316" s="10">
        <v>300</v>
      </c>
      <c r="J316" s="10">
        <v>200</v>
      </c>
      <c r="K316" s="10">
        <v>200</v>
      </c>
      <c r="L316" s="10">
        <v>0</v>
      </c>
      <c r="M316" s="10">
        <v>50</v>
      </c>
      <c r="N316" s="10"/>
      <c r="O316" s="10"/>
      <c r="P316" s="10"/>
      <c r="Q316" s="10"/>
      <c r="R316" s="10"/>
      <c r="T316" s="10">
        <f t="shared" si="114"/>
        <v>300</v>
      </c>
    </row>
    <row r="317" spans="2:20" ht="15.75" x14ac:dyDescent="0.25">
      <c r="B317" s="97">
        <f t="shared" si="115"/>
        <v>24</v>
      </c>
      <c r="C317" s="45">
        <v>3</v>
      </c>
      <c r="D317" s="293" t="s">
        <v>374</v>
      </c>
      <c r="E317" s="294"/>
      <c r="F317" s="294"/>
      <c r="G317" s="294"/>
      <c r="H317" s="295"/>
      <c r="I317" s="46">
        <f>I321+I322+I323+I328</f>
        <v>171300</v>
      </c>
      <c r="J317" s="46">
        <f t="shared" ref="J317:M319" si="123">J318</f>
        <v>171400</v>
      </c>
      <c r="K317" s="46">
        <f t="shared" si="123"/>
        <v>172220</v>
      </c>
      <c r="L317" s="46">
        <f t="shared" si="123"/>
        <v>154058.54999999999</v>
      </c>
      <c r="M317" s="46">
        <f t="shared" si="123"/>
        <v>144861</v>
      </c>
      <c r="N317" s="46">
        <v>0</v>
      </c>
      <c r="O317" s="46">
        <f t="shared" ref="O317:R319" si="124">O318</f>
        <v>0</v>
      </c>
      <c r="P317" s="46">
        <f t="shared" si="124"/>
        <v>0</v>
      </c>
      <c r="Q317" s="46">
        <f t="shared" si="124"/>
        <v>0</v>
      </c>
      <c r="R317" s="46">
        <f t="shared" si="124"/>
        <v>0</v>
      </c>
      <c r="T317" s="46">
        <f t="shared" si="114"/>
        <v>171300</v>
      </c>
    </row>
    <row r="318" spans="2:20" hidden="1" x14ac:dyDescent="0.25">
      <c r="B318" s="97">
        <f t="shared" si="115"/>
        <v>25</v>
      </c>
      <c r="C318" s="47"/>
      <c r="D318" s="47" t="s">
        <v>60</v>
      </c>
      <c r="E318" s="296"/>
      <c r="F318" s="294"/>
      <c r="G318" s="294"/>
      <c r="H318" s="295"/>
      <c r="I318" s="48" t="e">
        <f>#REF!+#REF!</f>
        <v>#REF!</v>
      </c>
      <c r="J318" s="48">
        <f t="shared" si="123"/>
        <v>171400</v>
      </c>
      <c r="K318" s="48">
        <f t="shared" si="123"/>
        <v>172220</v>
      </c>
      <c r="L318" s="48">
        <f t="shared" si="123"/>
        <v>154058.54999999999</v>
      </c>
      <c r="M318" s="48">
        <f t="shared" si="123"/>
        <v>144861</v>
      </c>
      <c r="N318" s="48" t="e">
        <f>#REF!+#REF!</f>
        <v>#REF!</v>
      </c>
      <c r="O318" s="48">
        <f t="shared" si="124"/>
        <v>0</v>
      </c>
      <c r="P318" s="48">
        <f t="shared" si="124"/>
        <v>0</v>
      </c>
      <c r="Q318" s="48">
        <f t="shared" si="124"/>
        <v>0</v>
      </c>
      <c r="R318" s="48">
        <f t="shared" si="124"/>
        <v>0</v>
      </c>
      <c r="T318" s="48" t="e">
        <f t="shared" si="114"/>
        <v>#REF!</v>
      </c>
    </row>
    <row r="319" spans="2:20" hidden="1" x14ac:dyDescent="0.25">
      <c r="B319" s="97">
        <f t="shared" si="115"/>
        <v>26</v>
      </c>
      <c r="C319" s="49"/>
      <c r="D319" s="49"/>
      <c r="E319" s="49"/>
      <c r="F319" s="49"/>
      <c r="G319" s="123"/>
      <c r="H319" s="49" t="s">
        <v>12</v>
      </c>
      <c r="I319" s="50" t="e">
        <f>#REF!+#REF!</f>
        <v>#REF!</v>
      </c>
      <c r="J319" s="50">
        <f t="shared" si="123"/>
        <v>171400</v>
      </c>
      <c r="K319" s="50">
        <f t="shared" si="123"/>
        <v>172220</v>
      </c>
      <c r="L319" s="50">
        <f t="shared" si="123"/>
        <v>154058.54999999999</v>
      </c>
      <c r="M319" s="50">
        <f t="shared" si="123"/>
        <v>144861</v>
      </c>
      <c r="N319" s="50" t="e">
        <f>#REF!+#REF!</f>
        <v>#REF!</v>
      </c>
      <c r="O319" s="50">
        <f t="shared" si="124"/>
        <v>0</v>
      </c>
      <c r="P319" s="50">
        <f t="shared" si="124"/>
        <v>0</v>
      </c>
      <c r="Q319" s="50">
        <f t="shared" si="124"/>
        <v>0</v>
      </c>
      <c r="R319" s="50">
        <f t="shared" si="124"/>
        <v>0</v>
      </c>
      <c r="T319" s="50" t="e">
        <f t="shared" si="114"/>
        <v>#REF!</v>
      </c>
    </row>
    <row r="320" spans="2:20" hidden="1" x14ac:dyDescent="0.25">
      <c r="B320" s="97">
        <f t="shared" si="115"/>
        <v>27</v>
      </c>
      <c r="C320" s="51"/>
      <c r="D320" s="51"/>
      <c r="E320" s="51" t="s">
        <v>60</v>
      </c>
      <c r="F320" s="51"/>
      <c r="G320" s="124"/>
      <c r="H320" s="51" t="s">
        <v>375</v>
      </c>
      <c r="I320" s="52" t="e">
        <f>#REF!+#REF!</f>
        <v>#REF!</v>
      </c>
      <c r="J320" s="52">
        <f t="shared" ref="J320:R320" si="125">J328+J323+J322+J321</f>
        <v>171400</v>
      </c>
      <c r="K320" s="52">
        <f t="shared" si="125"/>
        <v>172220</v>
      </c>
      <c r="L320" s="52">
        <f t="shared" si="125"/>
        <v>154058.54999999999</v>
      </c>
      <c r="M320" s="52">
        <f t="shared" si="125"/>
        <v>144861</v>
      </c>
      <c r="N320" s="52" t="e">
        <f>#REF!+#REF!</f>
        <v>#REF!</v>
      </c>
      <c r="O320" s="52">
        <f t="shared" si="125"/>
        <v>0</v>
      </c>
      <c r="P320" s="52">
        <f t="shared" si="125"/>
        <v>0</v>
      </c>
      <c r="Q320" s="52">
        <f t="shared" si="125"/>
        <v>0</v>
      </c>
      <c r="R320" s="52">
        <f t="shared" si="125"/>
        <v>0</v>
      </c>
      <c r="T320" s="52" t="e">
        <f t="shared" si="114"/>
        <v>#REF!</v>
      </c>
    </row>
    <row r="321" spans="2:20" x14ac:dyDescent="0.25">
      <c r="B321" s="97">
        <f t="shared" si="115"/>
        <v>28</v>
      </c>
      <c r="C321" s="29"/>
      <c r="D321" s="29"/>
      <c r="E321" s="29"/>
      <c r="F321" s="53" t="s">
        <v>302</v>
      </c>
      <c r="G321" s="125">
        <v>610</v>
      </c>
      <c r="H321" s="29" t="s">
        <v>338</v>
      </c>
      <c r="I321" s="15">
        <v>114400</v>
      </c>
      <c r="J321" s="15">
        <v>115015</v>
      </c>
      <c r="K321" s="15">
        <v>115015</v>
      </c>
      <c r="L321" s="15">
        <v>103351.73</v>
      </c>
      <c r="M321" s="15">
        <v>93800</v>
      </c>
      <c r="N321" s="15"/>
      <c r="O321" s="15"/>
      <c r="P321" s="15"/>
      <c r="Q321" s="15"/>
      <c r="R321" s="15"/>
      <c r="T321" s="15">
        <f t="shared" si="114"/>
        <v>114400</v>
      </c>
    </row>
    <row r="322" spans="2:20" x14ac:dyDescent="0.25">
      <c r="B322" s="97">
        <f t="shared" si="115"/>
        <v>29</v>
      </c>
      <c r="C322" s="29"/>
      <c r="D322" s="29"/>
      <c r="E322" s="29"/>
      <c r="F322" s="53" t="s">
        <v>302</v>
      </c>
      <c r="G322" s="125">
        <v>620</v>
      </c>
      <c r="H322" s="29" t="s">
        <v>313</v>
      </c>
      <c r="I322" s="15">
        <v>43210</v>
      </c>
      <c r="J322" s="15">
        <v>42555</v>
      </c>
      <c r="K322" s="15">
        <v>42555</v>
      </c>
      <c r="L322" s="15">
        <v>38158.43</v>
      </c>
      <c r="M322" s="15">
        <v>36000</v>
      </c>
      <c r="N322" s="15"/>
      <c r="O322" s="15"/>
      <c r="P322" s="15"/>
      <c r="Q322" s="15"/>
      <c r="R322" s="15"/>
      <c r="T322" s="15">
        <f t="shared" si="114"/>
        <v>43210</v>
      </c>
    </row>
    <row r="323" spans="2:20" x14ac:dyDescent="0.25">
      <c r="B323" s="97">
        <f t="shared" si="115"/>
        <v>30</v>
      </c>
      <c r="C323" s="29"/>
      <c r="D323" s="29"/>
      <c r="E323" s="29"/>
      <c r="F323" s="53" t="s">
        <v>302</v>
      </c>
      <c r="G323" s="125">
        <v>630</v>
      </c>
      <c r="H323" s="29" t="s">
        <v>303</v>
      </c>
      <c r="I323" s="15">
        <f>SUM(I324:I327)</f>
        <v>13240</v>
      </c>
      <c r="J323" s="15">
        <f t="shared" ref="J323:M323" si="126">J327+J326+J325+J324</f>
        <v>13430</v>
      </c>
      <c r="K323" s="15">
        <f t="shared" si="126"/>
        <v>14250</v>
      </c>
      <c r="L323" s="15">
        <f t="shared" si="126"/>
        <v>12254.39</v>
      </c>
      <c r="M323" s="15">
        <f t="shared" si="126"/>
        <v>14861</v>
      </c>
      <c r="N323" s="15"/>
      <c r="O323" s="15"/>
      <c r="P323" s="15"/>
      <c r="Q323" s="15"/>
      <c r="R323" s="15"/>
      <c r="T323" s="15">
        <f t="shared" si="114"/>
        <v>13240</v>
      </c>
    </row>
    <row r="324" spans="2:20" x14ac:dyDescent="0.25">
      <c r="B324" s="97">
        <f t="shared" si="115"/>
        <v>31</v>
      </c>
      <c r="C324" s="9"/>
      <c r="D324" s="9"/>
      <c r="E324" s="9"/>
      <c r="F324" s="54" t="s">
        <v>302</v>
      </c>
      <c r="G324" s="126">
        <v>631</v>
      </c>
      <c r="H324" s="9" t="s">
        <v>304</v>
      </c>
      <c r="I324" s="10">
        <v>200</v>
      </c>
      <c r="J324" s="10">
        <v>200</v>
      </c>
      <c r="K324" s="10">
        <v>200</v>
      </c>
      <c r="L324" s="10"/>
      <c r="M324" s="10">
        <v>0</v>
      </c>
      <c r="N324" s="10"/>
      <c r="O324" s="10"/>
      <c r="P324" s="10"/>
      <c r="Q324" s="10"/>
      <c r="R324" s="10"/>
      <c r="T324" s="10">
        <f t="shared" si="114"/>
        <v>200</v>
      </c>
    </row>
    <row r="325" spans="2:20" x14ac:dyDescent="0.25">
      <c r="B325" s="97">
        <f t="shared" si="115"/>
        <v>32</v>
      </c>
      <c r="C325" s="9"/>
      <c r="D325" s="9"/>
      <c r="E325" s="9"/>
      <c r="F325" s="54" t="s">
        <v>302</v>
      </c>
      <c r="G325" s="126">
        <v>632</v>
      </c>
      <c r="H325" s="9" t="s">
        <v>314</v>
      </c>
      <c r="I325" s="10">
        <v>1800</v>
      </c>
      <c r="J325" s="10">
        <v>1500</v>
      </c>
      <c r="K325" s="10">
        <v>1500</v>
      </c>
      <c r="L325" s="10">
        <v>1515</v>
      </c>
      <c r="M325" s="10">
        <v>1631</v>
      </c>
      <c r="N325" s="10"/>
      <c r="O325" s="10"/>
      <c r="P325" s="10"/>
      <c r="Q325" s="10"/>
      <c r="R325" s="10"/>
      <c r="T325" s="10">
        <f t="shared" si="114"/>
        <v>1800</v>
      </c>
    </row>
    <row r="326" spans="2:20" x14ac:dyDescent="0.25">
      <c r="B326" s="97">
        <f t="shared" si="115"/>
        <v>33</v>
      </c>
      <c r="C326" s="9"/>
      <c r="D326" s="9"/>
      <c r="E326" s="9"/>
      <c r="F326" s="54" t="s">
        <v>302</v>
      </c>
      <c r="G326" s="126">
        <v>633</v>
      </c>
      <c r="H326" s="9" t="s">
        <v>305</v>
      </c>
      <c r="I326" s="10">
        <v>1670</v>
      </c>
      <c r="J326" s="10">
        <v>3680</v>
      </c>
      <c r="K326" s="10">
        <v>1780</v>
      </c>
      <c r="L326" s="10">
        <v>4297</v>
      </c>
      <c r="M326" s="10">
        <v>6032</v>
      </c>
      <c r="N326" s="10"/>
      <c r="O326" s="10"/>
      <c r="P326" s="10"/>
      <c r="Q326" s="10"/>
      <c r="R326" s="10"/>
      <c r="T326" s="10">
        <f t="shared" si="114"/>
        <v>1670</v>
      </c>
    </row>
    <row r="327" spans="2:20" x14ac:dyDescent="0.25">
      <c r="B327" s="97">
        <f t="shared" si="115"/>
        <v>34</v>
      </c>
      <c r="C327" s="9"/>
      <c r="D327" s="9"/>
      <c r="E327" s="9"/>
      <c r="F327" s="54" t="s">
        <v>302</v>
      </c>
      <c r="G327" s="126">
        <v>637</v>
      </c>
      <c r="H327" s="9" t="s">
        <v>308</v>
      </c>
      <c r="I327" s="10">
        <v>9570</v>
      </c>
      <c r="J327" s="10">
        <v>8050</v>
      </c>
      <c r="K327" s="10">
        <v>10770</v>
      </c>
      <c r="L327" s="10">
        <v>6442.39</v>
      </c>
      <c r="M327" s="10">
        <v>7198</v>
      </c>
      <c r="N327" s="10"/>
      <c r="O327" s="10"/>
      <c r="P327" s="10"/>
      <c r="Q327" s="10"/>
      <c r="R327" s="10"/>
      <c r="T327" s="10">
        <f t="shared" si="114"/>
        <v>9570</v>
      </c>
    </row>
    <row r="328" spans="2:20" x14ac:dyDescent="0.25">
      <c r="B328" s="97">
        <f t="shared" si="115"/>
        <v>35</v>
      </c>
      <c r="C328" s="29"/>
      <c r="D328" s="29"/>
      <c r="E328" s="29"/>
      <c r="F328" s="53" t="s">
        <v>302</v>
      </c>
      <c r="G328" s="125">
        <v>640</v>
      </c>
      <c r="H328" s="29" t="s">
        <v>315</v>
      </c>
      <c r="I328" s="15">
        <f>I329</f>
        <v>450</v>
      </c>
      <c r="J328" s="15">
        <f t="shared" ref="J328:M328" si="127">J329</f>
        <v>400</v>
      </c>
      <c r="K328" s="15">
        <f t="shared" si="127"/>
        <v>400</v>
      </c>
      <c r="L328" s="15">
        <f t="shared" si="127"/>
        <v>294</v>
      </c>
      <c r="M328" s="15">
        <f t="shared" si="127"/>
        <v>200</v>
      </c>
      <c r="N328" s="15"/>
      <c r="O328" s="15"/>
      <c r="P328" s="15"/>
      <c r="Q328" s="15"/>
      <c r="R328" s="15"/>
      <c r="T328" s="15">
        <f t="shared" si="114"/>
        <v>450</v>
      </c>
    </row>
    <row r="329" spans="2:20" x14ac:dyDescent="0.25">
      <c r="B329" s="97">
        <f t="shared" si="115"/>
        <v>36</v>
      </c>
      <c r="C329" s="9"/>
      <c r="D329" s="9"/>
      <c r="E329" s="9"/>
      <c r="F329" s="54" t="s">
        <v>302</v>
      </c>
      <c r="G329" s="126">
        <v>642</v>
      </c>
      <c r="H329" s="9" t="s">
        <v>316</v>
      </c>
      <c r="I329" s="10">
        <v>450</v>
      </c>
      <c r="J329" s="10">
        <v>400</v>
      </c>
      <c r="K329" s="10">
        <v>400</v>
      </c>
      <c r="L329" s="10">
        <v>294</v>
      </c>
      <c r="M329" s="10">
        <v>200</v>
      </c>
      <c r="N329" s="10"/>
      <c r="O329" s="10"/>
      <c r="P329" s="10"/>
      <c r="Q329" s="10"/>
      <c r="R329" s="10"/>
      <c r="T329" s="10">
        <f t="shared" si="114"/>
        <v>450</v>
      </c>
    </row>
    <row r="330" spans="2:20" ht="15.75" x14ac:dyDescent="0.25">
      <c r="B330" s="97">
        <f t="shared" si="115"/>
        <v>37</v>
      </c>
      <c r="C330" s="45">
        <v>4</v>
      </c>
      <c r="D330" s="293" t="s">
        <v>94</v>
      </c>
      <c r="E330" s="294"/>
      <c r="F330" s="294"/>
      <c r="G330" s="294"/>
      <c r="H330" s="295"/>
      <c r="I330" s="46">
        <f>I331+I332+I333+I338</f>
        <v>42040</v>
      </c>
      <c r="J330" s="46">
        <f>J331+J332+J333+J338</f>
        <v>38200</v>
      </c>
      <c r="K330" s="46">
        <f>K331+K332+K333+K338</f>
        <v>38200</v>
      </c>
      <c r="L330" s="46">
        <f>L331+L332+L333+L338</f>
        <v>33507</v>
      </c>
      <c r="M330" s="46">
        <f>M331+M332+M333+M338</f>
        <v>38035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T330" s="46">
        <f t="shared" si="114"/>
        <v>42040</v>
      </c>
    </row>
    <row r="331" spans="2:20" x14ac:dyDescent="0.25">
      <c r="B331" s="97">
        <f t="shared" si="115"/>
        <v>38</v>
      </c>
      <c r="C331" s="29"/>
      <c r="D331" s="29"/>
      <c r="E331" s="29"/>
      <c r="F331" s="53" t="s">
        <v>378</v>
      </c>
      <c r="G331" s="125">
        <v>610</v>
      </c>
      <c r="H331" s="29" t="s">
        <v>338</v>
      </c>
      <c r="I331" s="15">
        <v>19900</v>
      </c>
      <c r="J331" s="15">
        <v>18400</v>
      </c>
      <c r="K331" s="15">
        <v>18400</v>
      </c>
      <c r="L331" s="15">
        <v>18366</v>
      </c>
      <c r="M331" s="15">
        <v>18397</v>
      </c>
      <c r="N331" s="15"/>
      <c r="O331" s="15"/>
      <c r="P331" s="15"/>
      <c r="Q331" s="15"/>
      <c r="R331" s="15"/>
      <c r="T331" s="15">
        <f t="shared" si="114"/>
        <v>19900</v>
      </c>
    </row>
    <row r="332" spans="2:20" x14ac:dyDescent="0.25">
      <c r="B332" s="97">
        <f t="shared" si="115"/>
        <v>39</v>
      </c>
      <c r="C332" s="29"/>
      <c r="D332" s="29"/>
      <c r="E332" s="29"/>
      <c r="F332" s="53" t="s">
        <v>378</v>
      </c>
      <c r="G332" s="125">
        <v>620</v>
      </c>
      <c r="H332" s="29" t="s">
        <v>313</v>
      </c>
      <c r="I332" s="15">
        <v>7300</v>
      </c>
      <c r="J332" s="15">
        <v>6465</v>
      </c>
      <c r="K332" s="15">
        <v>6465</v>
      </c>
      <c r="L332" s="15">
        <v>4836</v>
      </c>
      <c r="M332" s="15">
        <v>6285</v>
      </c>
      <c r="N332" s="15"/>
      <c r="O332" s="15"/>
      <c r="P332" s="15"/>
      <c r="Q332" s="15"/>
      <c r="R332" s="15"/>
      <c r="T332" s="15">
        <f t="shared" si="114"/>
        <v>7300</v>
      </c>
    </row>
    <row r="333" spans="2:20" x14ac:dyDescent="0.25">
      <c r="B333" s="97">
        <f t="shared" si="115"/>
        <v>40</v>
      </c>
      <c r="C333" s="29"/>
      <c r="D333" s="29"/>
      <c r="E333" s="29"/>
      <c r="F333" s="53" t="s">
        <v>378</v>
      </c>
      <c r="G333" s="125">
        <v>630</v>
      </c>
      <c r="H333" s="29" t="s">
        <v>303</v>
      </c>
      <c r="I333" s="15">
        <f>SUM(I334:I337)</f>
        <v>13590</v>
      </c>
      <c r="J333" s="15">
        <f>SUM(J334:J337)</f>
        <v>13285</v>
      </c>
      <c r="K333" s="15">
        <f t="shared" ref="K333:M333" si="128">SUM(K334:K337)</f>
        <v>13285</v>
      </c>
      <c r="L333" s="15">
        <f t="shared" si="128"/>
        <v>10305</v>
      </c>
      <c r="M333" s="15">
        <f t="shared" si="128"/>
        <v>12547</v>
      </c>
      <c r="N333" s="15"/>
      <c r="O333" s="15"/>
      <c r="P333" s="15"/>
      <c r="Q333" s="15"/>
      <c r="R333" s="15"/>
      <c r="T333" s="15">
        <f t="shared" si="114"/>
        <v>13590</v>
      </c>
    </row>
    <row r="334" spans="2:20" x14ac:dyDescent="0.25">
      <c r="B334" s="97">
        <f t="shared" si="115"/>
        <v>41</v>
      </c>
      <c r="C334" s="9"/>
      <c r="D334" s="9"/>
      <c r="E334" s="9"/>
      <c r="F334" s="54" t="s">
        <v>378</v>
      </c>
      <c r="G334" s="126">
        <v>632</v>
      </c>
      <c r="H334" s="9" t="s">
        <v>314</v>
      </c>
      <c r="I334" s="10">
        <v>7900</v>
      </c>
      <c r="J334" s="10">
        <v>7940</v>
      </c>
      <c r="K334" s="10">
        <v>7940</v>
      </c>
      <c r="L334" s="10">
        <v>5709</v>
      </c>
      <c r="M334" s="10">
        <v>7581</v>
      </c>
      <c r="N334" s="10"/>
      <c r="O334" s="10"/>
      <c r="P334" s="10"/>
      <c r="Q334" s="10"/>
      <c r="R334" s="10"/>
      <c r="T334" s="10">
        <f t="shared" si="114"/>
        <v>7900</v>
      </c>
    </row>
    <row r="335" spans="2:20" x14ac:dyDescent="0.25">
      <c r="B335" s="97">
        <f t="shared" si="115"/>
        <v>42</v>
      </c>
      <c r="C335" s="9"/>
      <c r="D335" s="9"/>
      <c r="E335" s="9"/>
      <c r="F335" s="54" t="s">
        <v>378</v>
      </c>
      <c r="G335" s="126">
        <v>633</v>
      </c>
      <c r="H335" s="9" t="s">
        <v>305</v>
      </c>
      <c r="I335" s="10">
        <v>2200</v>
      </c>
      <c r="J335" s="10">
        <v>1730</v>
      </c>
      <c r="K335" s="10">
        <v>1730</v>
      </c>
      <c r="L335" s="10">
        <v>1707</v>
      </c>
      <c r="M335" s="10">
        <v>1918</v>
      </c>
      <c r="N335" s="10"/>
      <c r="O335" s="10"/>
      <c r="P335" s="10"/>
      <c r="Q335" s="10"/>
      <c r="R335" s="10"/>
      <c r="T335" s="10">
        <f t="shared" si="114"/>
        <v>2200</v>
      </c>
    </row>
    <row r="336" spans="2:20" x14ac:dyDescent="0.25">
      <c r="B336" s="97">
        <f t="shared" si="115"/>
        <v>43</v>
      </c>
      <c r="C336" s="9"/>
      <c r="D336" s="9"/>
      <c r="E336" s="9"/>
      <c r="F336" s="54" t="s">
        <v>378</v>
      </c>
      <c r="G336" s="126">
        <v>635</v>
      </c>
      <c r="H336" s="9" t="s">
        <v>320</v>
      </c>
      <c r="I336" s="10">
        <v>400</v>
      </c>
      <c r="J336" s="10">
        <v>400</v>
      </c>
      <c r="K336" s="10">
        <v>400</v>
      </c>
      <c r="L336" s="10">
        <v>475</v>
      </c>
      <c r="M336" s="10">
        <v>76</v>
      </c>
      <c r="N336" s="10"/>
      <c r="O336" s="10"/>
      <c r="P336" s="10"/>
      <c r="Q336" s="10"/>
      <c r="R336" s="10"/>
      <c r="T336" s="10">
        <f t="shared" si="114"/>
        <v>400</v>
      </c>
    </row>
    <row r="337" spans="2:20" x14ac:dyDescent="0.25">
      <c r="B337" s="97">
        <f t="shared" si="115"/>
        <v>44</v>
      </c>
      <c r="C337" s="9"/>
      <c r="D337" s="9"/>
      <c r="E337" s="9"/>
      <c r="F337" s="54" t="s">
        <v>378</v>
      </c>
      <c r="G337" s="126">
        <v>637</v>
      </c>
      <c r="H337" s="9" t="s">
        <v>308</v>
      </c>
      <c r="I337" s="10">
        <v>3090</v>
      </c>
      <c r="J337" s="10">
        <v>3215</v>
      </c>
      <c r="K337" s="10">
        <v>3215</v>
      </c>
      <c r="L337" s="10">
        <v>2414</v>
      </c>
      <c r="M337" s="10">
        <v>2972</v>
      </c>
      <c r="N337" s="10"/>
      <c r="O337" s="10"/>
      <c r="P337" s="10"/>
      <c r="Q337" s="10"/>
      <c r="R337" s="10"/>
      <c r="T337" s="10">
        <f t="shared" si="114"/>
        <v>3090</v>
      </c>
    </row>
    <row r="338" spans="2:20" x14ac:dyDescent="0.25">
      <c r="B338" s="97">
        <f t="shared" si="115"/>
        <v>45</v>
      </c>
      <c r="C338" s="29"/>
      <c r="D338" s="29"/>
      <c r="E338" s="29"/>
      <c r="F338" s="53" t="s">
        <v>378</v>
      </c>
      <c r="G338" s="125">
        <v>640</v>
      </c>
      <c r="H338" s="29" t="s">
        <v>315</v>
      </c>
      <c r="I338" s="15">
        <f>950+150+150</f>
        <v>1250</v>
      </c>
      <c r="J338" s="15">
        <v>50</v>
      </c>
      <c r="K338" s="15">
        <v>50</v>
      </c>
      <c r="L338" s="15"/>
      <c r="M338" s="15">
        <v>806</v>
      </c>
      <c r="N338" s="15"/>
      <c r="O338" s="15"/>
      <c r="P338" s="15"/>
      <c r="Q338" s="15"/>
      <c r="R338" s="15"/>
      <c r="T338" s="15">
        <f t="shared" si="114"/>
        <v>1250</v>
      </c>
    </row>
    <row r="339" spans="2:20" ht="15.75" x14ac:dyDescent="0.25">
      <c r="B339" s="97">
        <f t="shared" si="115"/>
        <v>46</v>
      </c>
      <c r="C339" s="45">
        <v>5</v>
      </c>
      <c r="D339" s="293" t="s">
        <v>90</v>
      </c>
      <c r="E339" s="294"/>
      <c r="F339" s="294"/>
      <c r="G339" s="294"/>
      <c r="H339" s="295"/>
      <c r="I339" s="46">
        <f>I346</f>
        <v>50035</v>
      </c>
      <c r="J339" s="46">
        <f t="shared" ref="J339:R339" si="129">J340</f>
        <v>28700</v>
      </c>
      <c r="K339" s="46">
        <f t="shared" si="129"/>
        <v>28700</v>
      </c>
      <c r="L339" s="46">
        <f t="shared" si="129"/>
        <v>23849</v>
      </c>
      <c r="M339" s="46">
        <f t="shared" si="129"/>
        <v>25491</v>
      </c>
      <c r="N339" s="46">
        <v>0</v>
      </c>
      <c r="O339" s="46">
        <f t="shared" si="129"/>
        <v>0</v>
      </c>
      <c r="P339" s="46">
        <f t="shared" si="129"/>
        <v>0</v>
      </c>
      <c r="Q339" s="46">
        <f t="shared" si="129"/>
        <v>4830</v>
      </c>
      <c r="R339" s="46">
        <f t="shared" si="129"/>
        <v>38411</v>
      </c>
      <c r="T339" s="46">
        <f t="shared" si="114"/>
        <v>50035</v>
      </c>
    </row>
    <row r="340" spans="2:20" hidden="1" x14ac:dyDescent="0.25">
      <c r="B340" s="97">
        <f t="shared" si="115"/>
        <v>47</v>
      </c>
      <c r="C340" s="47"/>
      <c r="D340" s="47" t="s">
        <v>60</v>
      </c>
      <c r="E340" s="296"/>
      <c r="F340" s="294"/>
      <c r="G340" s="294"/>
      <c r="H340" s="295"/>
      <c r="I340" s="48" t="e">
        <f>#REF!+#REF!</f>
        <v>#REF!</v>
      </c>
      <c r="J340" s="48">
        <f>J346+J341</f>
        <v>28700</v>
      </c>
      <c r="K340" s="48">
        <f>K346+K341</f>
        <v>28700</v>
      </c>
      <c r="L340" s="48">
        <f>L346+L341</f>
        <v>23849</v>
      </c>
      <c r="M340" s="48">
        <f>M346+M341</f>
        <v>25491</v>
      </c>
      <c r="N340" s="48" t="e">
        <f>#REF!+#REF!</f>
        <v>#REF!</v>
      </c>
      <c r="O340" s="48">
        <f>O346+O341</f>
        <v>0</v>
      </c>
      <c r="P340" s="48">
        <f>P346+P341</f>
        <v>0</v>
      </c>
      <c r="Q340" s="48">
        <f>Q346+Q341</f>
        <v>4830</v>
      </c>
      <c r="R340" s="48">
        <f>R346+R341</f>
        <v>38411</v>
      </c>
      <c r="T340" s="48" t="e">
        <f t="shared" si="114"/>
        <v>#REF!</v>
      </c>
    </row>
    <row r="341" spans="2:20" hidden="1" x14ac:dyDescent="0.25">
      <c r="B341" s="97">
        <f t="shared" si="115"/>
        <v>48</v>
      </c>
      <c r="C341" s="49"/>
      <c r="D341" s="49"/>
      <c r="E341" s="49"/>
      <c r="F341" s="49"/>
      <c r="G341" s="123"/>
      <c r="H341" s="49" t="s">
        <v>12</v>
      </c>
      <c r="I341" s="50" t="e">
        <f>#REF!+#REF!</f>
        <v>#REF!</v>
      </c>
      <c r="J341" s="50">
        <f t="shared" ref="J341:M342" si="130">J342</f>
        <v>0</v>
      </c>
      <c r="K341" s="50">
        <f t="shared" si="130"/>
        <v>0</v>
      </c>
      <c r="L341" s="50">
        <f t="shared" si="130"/>
        <v>0</v>
      </c>
      <c r="M341" s="50">
        <f t="shared" si="130"/>
        <v>0</v>
      </c>
      <c r="N341" s="50" t="e">
        <f>#REF!+#REF!</f>
        <v>#REF!</v>
      </c>
      <c r="O341" s="50">
        <f t="shared" ref="O341:R342" si="131">O342</f>
        <v>0</v>
      </c>
      <c r="P341" s="50">
        <f t="shared" si="131"/>
        <v>0</v>
      </c>
      <c r="Q341" s="50">
        <f t="shared" si="131"/>
        <v>0</v>
      </c>
      <c r="R341" s="50">
        <f t="shared" si="131"/>
        <v>38411</v>
      </c>
      <c r="T341" s="50" t="e">
        <f t="shared" si="114"/>
        <v>#REF!</v>
      </c>
    </row>
    <row r="342" spans="2:20" hidden="1" x14ac:dyDescent="0.25">
      <c r="B342" s="97">
        <f t="shared" si="115"/>
        <v>49</v>
      </c>
      <c r="C342" s="51"/>
      <c r="D342" s="51"/>
      <c r="E342" s="51" t="s">
        <v>60</v>
      </c>
      <c r="F342" s="51"/>
      <c r="G342" s="124"/>
      <c r="H342" s="51"/>
      <c r="I342" s="52" t="e">
        <f>#REF!+#REF!</f>
        <v>#REF!</v>
      </c>
      <c r="J342" s="52">
        <f t="shared" si="130"/>
        <v>0</v>
      </c>
      <c r="K342" s="52">
        <f t="shared" si="130"/>
        <v>0</v>
      </c>
      <c r="L342" s="52">
        <f t="shared" si="130"/>
        <v>0</v>
      </c>
      <c r="M342" s="52">
        <f t="shared" si="130"/>
        <v>0</v>
      </c>
      <c r="N342" s="52" t="e">
        <f>#REF!+#REF!</f>
        <v>#REF!</v>
      </c>
      <c r="O342" s="52">
        <f t="shared" si="131"/>
        <v>0</v>
      </c>
      <c r="P342" s="52">
        <f t="shared" si="131"/>
        <v>0</v>
      </c>
      <c r="Q342" s="52">
        <f t="shared" si="131"/>
        <v>0</v>
      </c>
      <c r="R342" s="52">
        <f t="shared" si="131"/>
        <v>38411</v>
      </c>
      <c r="T342" s="52" t="e">
        <f t="shared" si="114"/>
        <v>#REF!</v>
      </c>
    </row>
    <row r="343" spans="2:20" x14ac:dyDescent="0.25">
      <c r="B343" s="97">
        <f t="shared" si="115"/>
        <v>50</v>
      </c>
      <c r="C343" s="29"/>
      <c r="D343" s="29"/>
      <c r="E343" s="29"/>
      <c r="F343" s="53" t="s">
        <v>378</v>
      </c>
      <c r="G343" s="125">
        <v>710</v>
      </c>
      <c r="H343" s="29" t="s">
        <v>321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>
        <f>R344+R345</f>
        <v>38411</v>
      </c>
      <c r="T343" s="15">
        <f t="shared" si="114"/>
        <v>0</v>
      </c>
    </row>
    <row r="344" spans="2:20" x14ac:dyDescent="0.25">
      <c r="B344" s="97">
        <f t="shared" si="115"/>
        <v>51</v>
      </c>
      <c r="C344" s="9"/>
      <c r="D344" s="9"/>
      <c r="E344" s="9"/>
      <c r="F344" s="54" t="s">
        <v>378</v>
      </c>
      <c r="G344" s="126">
        <v>716</v>
      </c>
      <c r="H344" s="9" t="s">
        <v>323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>
        <v>535</v>
      </c>
      <c r="T344" s="10">
        <f t="shared" si="114"/>
        <v>0</v>
      </c>
    </row>
    <row r="345" spans="2:20" x14ac:dyDescent="0.25">
      <c r="B345" s="97">
        <f t="shared" si="115"/>
        <v>52</v>
      </c>
      <c r="C345" s="9"/>
      <c r="D345" s="9"/>
      <c r="E345" s="9"/>
      <c r="F345" s="54" t="s">
        <v>378</v>
      </c>
      <c r="G345" s="126">
        <v>717</v>
      </c>
      <c r="H345" s="9" t="s">
        <v>327</v>
      </c>
      <c r="I345" s="10"/>
      <c r="J345" s="10"/>
      <c r="K345" s="10"/>
      <c r="L345" s="10"/>
      <c r="M345" s="10"/>
      <c r="N345" s="10"/>
      <c r="O345" s="10"/>
      <c r="P345" s="10"/>
      <c r="Q345" s="10"/>
      <c r="R345" s="10">
        <v>37876</v>
      </c>
      <c r="T345" s="10">
        <f t="shared" si="114"/>
        <v>0</v>
      </c>
    </row>
    <row r="346" spans="2:20" x14ac:dyDescent="0.25">
      <c r="B346" s="97">
        <f t="shared" si="115"/>
        <v>53</v>
      </c>
      <c r="C346" s="49"/>
      <c r="D346" s="49"/>
      <c r="E346" s="49">
        <v>2</v>
      </c>
      <c r="F346" s="49"/>
      <c r="G346" s="123"/>
      <c r="H346" s="49" t="s">
        <v>59</v>
      </c>
      <c r="I346" s="50">
        <f>I348+I349+I350+I356</f>
        <v>50035</v>
      </c>
      <c r="J346" s="50">
        <f t="shared" ref="J346:M346" si="132">J348+J349+J350+J356</f>
        <v>28700</v>
      </c>
      <c r="K346" s="50">
        <f t="shared" si="132"/>
        <v>28700</v>
      </c>
      <c r="L346" s="50">
        <f t="shared" si="132"/>
        <v>23849</v>
      </c>
      <c r="M346" s="50">
        <f t="shared" si="132"/>
        <v>25491</v>
      </c>
      <c r="N346" s="50">
        <v>0</v>
      </c>
      <c r="O346" s="50">
        <v>0</v>
      </c>
      <c r="P346" s="50">
        <v>0</v>
      </c>
      <c r="Q346" s="50">
        <f>Q357</f>
        <v>4830</v>
      </c>
      <c r="R346" s="50">
        <v>0</v>
      </c>
      <c r="T346" s="50">
        <f t="shared" si="114"/>
        <v>50035</v>
      </c>
    </row>
    <row r="347" spans="2:20" hidden="1" x14ac:dyDescent="0.25">
      <c r="B347" s="97">
        <f t="shared" si="115"/>
        <v>54</v>
      </c>
      <c r="C347" s="51"/>
      <c r="D347" s="51"/>
      <c r="E347" s="51" t="s">
        <v>60</v>
      </c>
      <c r="F347" s="51"/>
      <c r="G347" s="124"/>
      <c r="H347" s="51" t="s">
        <v>90</v>
      </c>
      <c r="I347" s="52" t="e">
        <f>#REF!+#REF!</f>
        <v>#REF!</v>
      </c>
      <c r="J347" s="52" t="e">
        <f>J357+#REF!+J356+J350+J349+J348</f>
        <v>#REF!</v>
      </c>
      <c r="K347" s="52" t="e">
        <f>K357+#REF!+K356+K350+K349+K348</f>
        <v>#REF!</v>
      </c>
      <c r="L347" s="52" t="e">
        <f>L357+#REF!+L356+L350+L349+L348</f>
        <v>#REF!</v>
      </c>
      <c r="M347" s="52" t="e">
        <f>M357+#REF!+M356+M350+M349+M348</f>
        <v>#REF!</v>
      </c>
      <c r="N347" s="52" t="e">
        <f>#REF!+#REF!</f>
        <v>#REF!</v>
      </c>
      <c r="O347" s="52" t="e">
        <f>O357+#REF!+O356+O350+O349+O348</f>
        <v>#REF!</v>
      </c>
      <c r="P347" s="52" t="e">
        <f>P357+#REF!+P356+P350+P349+P348</f>
        <v>#REF!</v>
      </c>
      <c r="Q347" s="52" t="e">
        <f>Q357+#REF!+Q356+Q350+Q349+Q348</f>
        <v>#REF!</v>
      </c>
      <c r="R347" s="52" t="e">
        <f>R357+#REF!+R356+R350+R349+R348</f>
        <v>#REF!</v>
      </c>
      <c r="T347" s="52" t="e">
        <f t="shared" si="114"/>
        <v>#REF!</v>
      </c>
    </row>
    <row r="348" spans="2:20" x14ac:dyDescent="0.25">
      <c r="B348" s="97">
        <f t="shared" si="115"/>
        <v>55</v>
      </c>
      <c r="C348" s="29"/>
      <c r="D348" s="29"/>
      <c r="E348" s="29"/>
      <c r="F348" s="53" t="s">
        <v>378</v>
      </c>
      <c r="G348" s="125">
        <v>610</v>
      </c>
      <c r="H348" s="29" t="s">
        <v>338</v>
      </c>
      <c r="I348" s="15">
        <v>21400</v>
      </c>
      <c r="J348" s="15">
        <v>6600</v>
      </c>
      <c r="K348" s="15">
        <v>6600</v>
      </c>
      <c r="L348" s="15">
        <v>6598</v>
      </c>
      <c r="M348" s="15">
        <v>6549</v>
      </c>
      <c r="N348" s="15"/>
      <c r="O348" s="15"/>
      <c r="P348" s="15"/>
      <c r="Q348" s="15"/>
      <c r="R348" s="15"/>
      <c r="T348" s="15">
        <f t="shared" si="114"/>
        <v>21400</v>
      </c>
    </row>
    <row r="349" spans="2:20" x14ac:dyDescent="0.25">
      <c r="B349" s="97">
        <f t="shared" si="115"/>
        <v>56</v>
      </c>
      <c r="C349" s="29"/>
      <c r="D349" s="29"/>
      <c r="E349" s="29"/>
      <c r="F349" s="53" t="s">
        <v>378</v>
      </c>
      <c r="G349" s="125">
        <v>620</v>
      </c>
      <c r="H349" s="29" t="s">
        <v>313</v>
      </c>
      <c r="I349" s="15">
        <v>8215</v>
      </c>
      <c r="J349" s="15">
        <v>2950</v>
      </c>
      <c r="K349" s="15">
        <v>2950</v>
      </c>
      <c r="L349" s="15">
        <v>2866</v>
      </c>
      <c r="M349" s="15">
        <v>2309</v>
      </c>
      <c r="N349" s="15"/>
      <c r="O349" s="15"/>
      <c r="P349" s="15"/>
      <c r="Q349" s="15"/>
      <c r="R349" s="15"/>
      <c r="T349" s="15">
        <f t="shared" si="114"/>
        <v>8215</v>
      </c>
    </row>
    <row r="350" spans="2:20" x14ac:dyDescent="0.25">
      <c r="B350" s="97">
        <f t="shared" si="115"/>
        <v>57</v>
      </c>
      <c r="C350" s="29"/>
      <c r="D350" s="29"/>
      <c r="E350" s="29"/>
      <c r="F350" s="53" t="s">
        <v>378</v>
      </c>
      <c r="G350" s="125">
        <v>630</v>
      </c>
      <c r="H350" s="29" t="s">
        <v>303</v>
      </c>
      <c r="I350" s="15">
        <f>SUM(I351:I355)</f>
        <v>20320</v>
      </c>
      <c r="J350" s="15">
        <f>SUM(J351:J355)</f>
        <v>19150</v>
      </c>
      <c r="K350" s="15">
        <f t="shared" ref="K350:M350" si="133">SUM(K351:K355)</f>
        <v>19150</v>
      </c>
      <c r="L350" s="15">
        <f t="shared" si="133"/>
        <v>14385</v>
      </c>
      <c r="M350" s="15">
        <f t="shared" si="133"/>
        <v>16633</v>
      </c>
      <c r="N350" s="15"/>
      <c r="O350" s="15"/>
      <c r="P350" s="15"/>
      <c r="Q350" s="15"/>
      <c r="R350" s="15"/>
      <c r="T350" s="15">
        <f t="shared" si="114"/>
        <v>20320</v>
      </c>
    </row>
    <row r="351" spans="2:20" x14ac:dyDescent="0.25">
      <c r="B351" s="97">
        <f t="shared" si="115"/>
        <v>58</v>
      </c>
      <c r="C351" s="9"/>
      <c r="D351" s="9"/>
      <c r="E351" s="9"/>
      <c r="F351" s="54" t="s">
        <v>378</v>
      </c>
      <c r="G351" s="126">
        <v>632</v>
      </c>
      <c r="H351" s="9" t="s">
        <v>314</v>
      </c>
      <c r="I351" s="10">
        <v>6400</v>
      </c>
      <c r="J351" s="10">
        <v>6600</v>
      </c>
      <c r="K351" s="10">
        <v>6600</v>
      </c>
      <c r="L351" s="10">
        <v>3626</v>
      </c>
      <c r="M351" s="10">
        <v>5103</v>
      </c>
      <c r="N351" s="10"/>
      <c r="O351" s="10"/>
      <c r="P351" s="10"/>
      <c r="Q351" s="10"/>
      <c r="R351" s="10"/>
      <c r="T351" s="10">
        <f t="shared" si="114"/>
        <v>6400</v>
      </c>
    </row>
    <row r="352" spans="2:20" x14ac:dyDescent="0.25">
      <c r="B352" s="97">
        <f t="shared" si="115"/>
        <v>59</v>
      </c>
      <c r="C352" s="9"/>
      <c r="D352" s="9"/>
      <c r="E352" s="9"/>
      <c r="F352" s="54" t="s">
        <v>378</v>
      </c>
      <c r="G352" s="126">
        <v>633</v>
      </c>
      <c r="H352" s="9" t="s">
        <v>305</v>
      </c>
      <c r="I352" s="10">
        <v>800</v>
      </c>
      <c r="J352" s="10">
        <v>500</v>
      </c>
      <c r="K352" s="10">
        <v>400</v>
      </c>
      <c r="L352" s="10">
        <v>770</v>
      </c>
      <c r="M352" s="10">
        <v>1325</v>
      </c>
      <c r="N352" s="10"/>
      <c r="O352" s="10"/>
      <c r="P352" s="10"/>
      <c r="Q352" s="10"/>
      <c r="R352" s="10"/>
      <c r="T352" s="10">
        <f t="shared" si="114"/>
        <v>800</v>
      </c>
    </row>
    <row r="353" spans="2:20" x14ac:dyDescent="0.25">
      <c r="B353" s="97">
        <f t="shared" si="115"/>
        <v>60</v>
      </c>
      <c r="C353" s="9"/>
      <c r="D353" s="9"/>
      <c r="E353" s="9"/>
      <c r="F353" s="54" t="s">
        <v>378</v>
      </c>
      <c r="G353" s="126">
        <v>635</v>
      </c>
      <c r="H353" s="9" t="s">
        <v>320</v>
      </c>
      <c r="I353" s="10">
        <v>200</v>
      </c>
      <c r="J353" s="10">
        <v>100</v>
      </c>
      <c r="K353" s="10">
        <v>200</v>
      </c>
      <c r="L353" s="10">
        <v>157</v>
      </c>
      <c r="M353" s="10">
        <v>42</v>
      </c>
      <c r="N353" s="10"/>
      <c r="O353" s="10"/>
      <c r="P353" s="10"/>
      <c r="Q353" s="10"/>
      <c r="R353" s="10"/>
      <c r="T353" s="10">
        <f t="shared" si="114"/>
        <v>200</v>
      </c>
    </row>
    <row r="354" spans="2:20" x14ac:dyDescent="0.25">
      <c r="B354" s="97">
        <f t="shared" si="115"/>
        <v>61</v>
      </c>
      <c r="C354" s="9"/>
      <c r="D354" s="9"/>
      <c r="E354" s="9"/>
      <c r="F354" s="54" t="s">
        <v>378</v>
      </c>
      <c r="G354" s="126">
        <v>636</v>
      </c>
      <c r="H354" s="9" t="s">
        <v>307</v>
      </c>
      <c r="I354" s="10">
        <f>1200+450</f>
        <v>1650</v>
      </c>
      <c r="J354" s="10">
        <f>1200+450</f>
        <v>1650</v>
      </c>
      <c r="K354" s="10">
        <f>1200+450</f>
        <v>1650</v>
      </c>
      <c r="L354" s="10">
        <v>1198</v>
      </c>
      <c r="M354" s="10">
        <v>1250</v>
      </c>
      <c r="N354" s="10"/>
      <c r="O354" s="10"/>
      <c r="P354" s="10"/>
      <c r="Q354" s="10"/>
      <c r="R354" s="10"/>
      <c r="T354" s="10">
        <f t="shared" si="114"/>
        <v>1650</v>
      </c>
    </row>
    <row r="355" spans="2:20" x14ac:dyDescent="0.25">
      <c r="B355" s="97">
        <f t="shared" si="115"/>
        <v>62</v>
      </c>
      <c r="C355" s="9"/>
      <c r="D355" s="9"/>
      <c r="E355" s="9"/>
      <c r="F355" s="54" t="s">
        <v>378</v>
      </c>
      <c r="G355" s="126">
        <v>637</v>
      </c>
      <c r="H355" s="9" t="s">
        <v>308</v>
      </c>
      <c r="I355" s="10">
        <v>11270</v>
      </c>
      <c r="J355" s="10">
        <v>10300</v>
      </c>
      <c r="K355" s="10">
        <v>10300</v>
      </c>
      <c r="L355" s="10">
        <v>8634</v>
      </c>
      <c r="M355" s="10">
        <v>8913</v>
      </c>
      <c r="N355" s="10"/>
      <c r="O355" s="10"/>
      <c r="P355" s="10"/>
      <c r="Q355" s="10"/>
      <c r="R355" s="10"/>
      <c r="T355" s="10">
        <f t="shared" si="114"/>
        <v>11270</v>
      </c>
    </row>
    <row r="356" spans="2:20" x14ac:dyDescent="0.25">
      <c r="B356" s="97">
        <f t="shared" si="115"/>
        <v>63</v>
      </c>
      <c r="C356" s="29"/>
      <c r="D356" s="29"/>
      <c r="E356" s="29"/>
      <c r="F356" s="53" t="s">
        <v>378</v>
      </c>
      <c r="G356" s="125">
        <v>640</v>
      </c>
      <c r="H356" s="29" t="s">
        <v>315</v>
      </c>
      <c r="I356" s="15">
        <v>100</v>
      </c>
      <c r="J356" s="15">
        <v>0</v>
      </c>
      <c r="K356" s="15"/>
      <c r="L356" s="15"/>
      <c r="M356" s="15"/>
      <c r="N356" s="15"/>
      <c r="O356" s="15"/>
      <c r="P356" s="15"/>
      <c r="Q356" s="15"/>
      <c r="R356" s="15"/>
      <c r="T356" s="15">
        <f t="shared" si="114"/>
        <v>100</v>
      </c>
    </row>
    <row r="357" spans="2:20" x14ac:dyDescent="0.25">
      <c r="B357" s="97">
        <f t="shared" si="115"/>
        <v>64</v>
      </c>
      <c r="C357" s="29"/>
      <c r="D357" s="29"/>
      <c r="E357" s="29"/>
      <c r="F357" s="53" t="s">
        <v>378</v>
      </c>
      <c r="G357" s="125">
        <v>710</v>
      </c>
      <c r="H357" s="29" t="s">
        <v>321</v>
      </c>
      <c r="I357" s="15"/>
      <c r="J357" s="15"/>
      <c r="K357" s="15"/>
      <c r="L357" s="15"/>
      <c r="M357" s="15"/>
      <c r="N357" s="15"/>
      <c r="O357" s="15"/>
      <c r="P357" s="15"/>
      <c r="Q357" s="15">
        <f t="shared" ref="Q357" si="134">Q358</f>
        <v>4830</v>
      </c>
      <c r="R357" s="15"/>
      <c r="T357" s="15">
        <f t="shared" si="114"/>
        <v>0</v>
      </c>
    </row>
    <row r="358" spans="2:20" x14ac:dyDescent="0.25">
      <c r="B358" s="97">
        <f t="shared" si="115"/>
        <v>65</v>
      </c>
      <c r="C358" s="9"/>
      <c r="D358" s="9"/>
      <c r="E358" s="9"/>
      <c r="F358" s="54" t="s">
        <v>378</v>
      </c>
      <c r="G358" s="126">
        <v>718</v>
      </c>
      <c r="H358" s="9" t="s">
        <v>380</v>
      </c>
      <c r="I358" s="10"/>
      <c r="J358" s="10"/>
      <c r="K358" s="10"/>
      <c r="L358" s="10"/>
      <c r="M358" s="10"/>
      <c r="N358" s="10"/>
      <c r="O358" s="10"/>
      <c r="P358" s="10"/>
      <c r="Q358" s="10">
        <v>4830</v>
      </c>
      <c r="R358" s="10"/>
      <c r="T358" s="10">
        <f t="shared" si="114"/>
        <v>0</v>
      </c>
    </row>
    <row r="359" spans="2:20" ht="15.75" x14ac:dyDescent="0.25">
      <c r="B359" s="97">
        <f t="shared" si="115"/>
        <v>66</v>
      </c>
      <c r="C359" s="45">
        <v>6</v>
      </c>
      <c r="D359" s="293" t="s">
        <v>381</v>
      </c>
      <c r="E359" s="294"/>
      <c r="F359" s="294"/>
      <c r="G359" s="294"/>
      <c r="H359" s="295"/>
      <c r="I359" s="46">
        <f>I363</f>
        <v>148000</v>
      </c>
      <c r="J359" s="46">
        <f t="shared" ref="J359:M361" si="135">J360</f>
        <v>144630</v>
      </c>
      <c r="K359" s="46">
        <f t="shared" si="135"/>
        <v>136065</v>
      </c>
      <c r="L359" s="46">
        <f t="shared" si="135"/>
        <v>107993.1</v>
      </c>
      <c r="M359" s="46">
        <f t="shared" si="135"/>
        <v>122841.14</v>
      </c>
      <c r="N359" s="46">
        <f>N367</f>
        <v>20962</v>
      </c>
      <c r="O359" s="46">
        <f t="shared" ref="O359:R361" si="136">O360</f>
        <v>34212</v>
      </c>
      <c r="P359" s="46">
        <f t="shared" si="136"/>
        <v>60962</v>
      </c>
      <c r="Q359" s="46">
        <f t="shared" si="136"/>
        <v>83243</v>
      </c>
      <c r="R359" s="46">
        <f t="shared" si="136"/>
        <v>208936</v>
      </c>
      <c r="T359" s="46">
        <f t="shared" ref="T359:T395" si="137">N359+I359</f>
        <v>168962</v>
      </c>
    </row>
    <row r="360" spans="2:20" hidden="1" x14ac:dyDescent="0.25">
      <c r="B360" s="97">
        <f t="shared" ref="B360:B363" si="138">B359+1</f>
        <v>67</v>
      </c>
      <c r="C360" s="47"/>
      <c r="D360" s="47" t="s">
        <v>60</v>
      </c>
      <c r="E360" s="296"/>
      <c r="F360" s="294"/>
      <c r="G360" s="294"/>
      <c r="H360" s="295"/>
      <c r="I360" s="48" t="e">
        <f>#REF!+#REF!</f>
        <v>#REF!</v>
      </c>
      <c r="J360" s="48">
        <f t="shared" si="135"/>
        <v>144630</v>
      </c>
      <c r="K360" s="48">
        <f t="shared" si="135"/>
        <v>136065</v>
      </c>
      <c r="L360" s="48">
        <f t="shared" si="135"/>
        <v>107993.1</v>
      </c>
      <c r="M360" s="48">
        <f t="shared" si="135"/>
        <v>122841.14</v>
      </c>
      <c r="N360" s="48" t="e">
        <f>#REF!+#REF!</f>
        <v>#REF!</v>
      </c>
      <c r="O360" s="48">
        <f t="shared" si="136"/>
        <v>34212</v>
      </c>
      <c r="P360" s="48">
        <f t="shared" si="136"/>
        <v>60962</v>
      </c>
      <c r="Q360" s="48">
        <f t="shared" si="136"/>
        <v>83243</v>
      </c>
      <c r="R360" s="48">
        <f t="shared" si="136"/>
        <v>208936</v>
      </c>
      <c r="T360" s="48" t="e">
        <f t="shared" si="137"/>
        <v>#REF!</v>
      </c>
    </row>
    <row r="361" spans="2:20" hidden="1" x14ac:dyDescent="0.25">
      <c r="B361" s="97">
        <f t="shared" si="138"/>
        <v>68</v>
      </c>
      <c r="C361" s="49"/>
      <c r="D361" s="49"/>
      <c r="E361" s="49"/>
      <c r="F361" s="49"/>
      <c r="G361" s="123"/>
      <c r="H361" s="49" t="s">
        <v>12</v>
      </c>
      <c r="I361" s="50" t="e">
        <f>#REF!+#REF!</f>
        <v>#REF!</v>
      </c>
      <c r="J361" s="50">
        <f t="shared" si="135"/>
        <v>144630</v>
      </c>
      <c r="K361" s="50">
        <f t="shared" si="135"/>
        <v>136065</v>
      </c>
      <c r="L361" s="50">
        <f t="shared" si="135"/>
        <v>107993.1</v>
      </c>
      <c r="M361" s="50">
        <f t="shared" si="135"/>
        <v>122841.14</v>
      </c>
      <c r="N361" s="50" t="e">
        <f>#REF!+#REF!</f>
        <v>#REF!</v>
      </c>
      <c r="O361" s="50">
        <f t="shared" si="136"/>
        <v>34212</v>
      </c>
      <c r="P361" s="50">
        <f t="shared" si="136"/>
        <v>60962</v>
      </c>
      <c r="Q361" s="50">
        <f t="shared" si="136"/>
        <v>83243</v>
      </c>
      <c r="R361" s="50">
        <f t="shared" si="136"/>
        <v>208936</v>
      </c>
      <c r="T361" s="50" t="e">
        <f t="shared" si="137"/>
        <v>#REF!</v>
      </c>
    </row>
    <row r="362" spans="2:20" hidden="1" x14ac:dyDescent="0.25">
      <c r="B362" s="97">
        <f t="shared" si="138"/>
        <v>69</v>
      </c>
      <c r="C362" s="51"/>
      <c r="D362" s="51"/>
      <c r="E362" s="51" t="s">
        <v>60</v>
      </c>
      <c r="F362" s="51"/>
      <c r="G362" s="124"/>
      <c r="H362" s="51" t="s">
        <v>382</v>
      </c>
      <c r="I362" s="52" t="e">
        <f>#REF!+#REF!</f>
        <v>#REF!</v>
      </c>
      <c r="J362" s="52">
        <f t="shared" ref="J362:R362" si="139">J367+J363</f>
        <v>144630</v>
      </c>
      <c r="K362" s="52">
        <f t="shared" si="139"/>
        <v>136065</v>
      </c>
      <c r="L362" s="52">
        <f t="shared" si="139"/>
        <v>107993.1</v>
      </c>
      <c r="M362" s="52">
        <f t="shared" si="139"/>
        <v>122841.14</v>
      </c>
      <c r="N362" s="52" t="e">
        <f>#REF!+#REF!</f>
        <v>#REF!</v>
      </c>
      <c r="O362" s="52">
        <f t="shared" si="139"/>
        <v>34212</v>
      </c>
      <c r="P362" s="52">
        <f t="shared" si="139"/>
        <v>60962</v>
      </c>
      <c r="Q362" s="52">
        <f t="shared" si="139"/>
        <v>83243</v>
      </c>
      <c r="R362" s="52">
        <f t="shared" si="139"/>
        <v>208936</v>
      </c>
      <c r="T362" s="52" t="e">
        <f t="shared" si="137"/>
        <v>#REF!</v>
      </c>
    </row>
    <row r="363" spans="2:20" x14ac:dyDescent="0.25">
      <c r="B363" s="97">
        <f t="shared" si="138"/>
        <v>70</v>
      </c>
      <c r="C363" s="29"/>
      <c r="D363" s="29"/>
      <c r="E363" s="29"/>
      <c r="F363" s="53" t="s">
        <v>335</v>
      </c>
      <c r="G363" s="125">
        <v>630</v>
      </c>
      <c r="H363" s="29" t="s">
        <v>303</v>
      </c>
      <c r="I363" s="15">
        <f>SUM(I364:I366)</f>
        <v>148000</v>
      </c>
      <c r="J363" s="15">
        <f t="shared" ref="J363:M363" si="140">J366+J365+J364</f>
        <v>144630</v>
      </c>
      <c r="K363" s="15">
        <f t="shared" si="140"/>
        <v>136065</v>
      </c>
      <c r="L363" s="15">
        <f t="shared" si="140"/>
        <v>107993.1</v>
      </c>
      <c r="M363" s="15">
        <f t="shared" si="140"/>
        <v>122841.14</v>
      </c>
      <c r="N363" s="15"/>
      <c r="O363" s="15"/>
      <c r="P363" s="15"/>
      <c r="Q363" s="15"/>
      <c r="R363" s="15"/>
      <c r="T363" s="15">
        <f t="shared" si="137"/>
        <v>148000</v>
      </c>
    </row>
    <row r="364" spans="2:20" x14ac:dyDescent="0.25">
      <c r="B364" s="97">
        <f t="shared" ref="B364:B394" si="141">B363+1</f>
        <v>71</v>
      </c>
      <c r="C364" s="9"/>
      <c r="D364" s="9"/>
      <c r="E364" s="9"/>
      <c r="F364" s="54" t="s">
        <v>335</v>
      </c>
      <c r="G364" s="126">
        <v>632</v>
      </c>
      <c r="H364" s="9" t="s">
        <v>314</v>
      </c>
      <c r="I364" s="10">
        <v>25000</v>
      </c>
      <c r="J364" s="10">
        <v>27000</v>
      </c>
      <c r="K364" s="10">
        <v>27000</v>
      </c>
      <c r="L364" s="10">
        <v>19745.099999999999</v>
      </c>
      <c r="M364" s="10">
        <v>20825.689999999999</v>
      </c>
      <c r="N364" s="10"/>
      <c r="O364" s="10"/>
      <c r="P364" s="10"/>
      <c r="Q364" s="10"/>
      <c r="R364" s="10"/>
      <c r="T364" s="10">
        <f t="shared" si="137"/>
        <v>25000</v>
      </c>
    </row>
    <row r="365" spans="2:20" x14ac:dyDescent="0.25">
      <c r="B365" s="97">
        <f t="shared" si="141"/>
        <v>72</v>
      </c>
      <c r="C365" s="9"/>
      <c r="D365" s="9"/>
      <c r="E365" s="9"/>
      <c r="F365" s="54" t="s">
        <v>335</v>
      </c>
      <c r="G365" s="126">
        <v>633</v>
      </c>
      <c r="H365" s="9" t="s">
        <v>305</v>
      </c>
      <c r="I365" s="10">
        <v>10000</v>
      </c>
      <c r="J365" s="10">
        <v>0</v>
      </c>
      <c r="K365" s="10">
        <v>300</v>
      </c>
      <c r="L365" s="10">
        <v>0</v>
      </c>
      <c r="M365" s="10">
        <v>0</v>
      </c>
      <c r="N365" s="10"/>
      <c r="O365" s="10"/>
      <c r="P365" s="10"/>
      <c r="Q365" s="10"/>
      <c r="R365" s="10"/>
      <c r="T365" s="10">
        <f t="shared" si="137"/>
        <v>10000</v>
      </c>
    </row>
    <row r="366" spans="2:20" x14ac:dyDescent="0.25">
      <c r="B366" s="97">
        <f t="shared" si="141"/>
        <v>73</v>
      </c>
      <c r="C366" s="9"/>
      <c r="D366" s="9"/>
      <c r="E366" s="9"/>
      <c r="F366" s="54" t="s">
        <v>335</v>
      </c>
      <c r="G366" s="126">
        <v>637</v>
      </c>
      <c r="H366" s="9" t="s">
        <v>308</v>
      </c>
      <c r="I366" s="10">
        <v>113000</v>
      </c>
      <c r="J366" s="10">
        <v>117630</v>
      </c>
      <c r="K366" s="10">
        <f>99630+7135+2000</f>
        <v>108765</v>
      </c>
      <c r="L366" s="10">
        <v>88248</v>
      </c>
      <c r="M366" s="10">
        <v>102015.45</v>
      </c>
      <c r="N366" s="10"/>
      <c r="O366" s="10"/>
      <c r="P366" s="10"/>
      <c r="Q366" s="10"/>
      <c r="R366" s="10"/>
      <c r="T366" s="10">
        <f t="shared" si="137"/>
        <v>113000</v>
      </c>
    </row>
    <row r="367" spans="2:20" x14ac:dyDescent="0.25">
      <c r="B367" s="97">
        <f t="shared" si="141"/>
        <v>74</v>
      </c>
      <c r="C367" s="29"/>
      <c r="D367" s="29"/>
      <c r="E367" s="29"/>
      <c r="F367" s="53" t="s">
        <v>335</v>
      </c>
      <c r="G367" s="125">
        <v>710</v>
      </c>
      <c r="H367" s="29" t="s">
        <v>321</v>
      </c>
      <c r="I367" s="15"/>
      <c r="J367" s="15"/>
      <c r="K367" s="15"/>
      <c r="L367" s="15"/>
      <c r="M367" s="15"/>
      <c r="N367" s="15">
        <f>N368+N373</f>
        <v>20962</v>
      </c>
      <c r="O367" s="15">
        <f>O373+O368</f>
        <v>34212</v>
      </c>
      <c r="P367" s="15">
        <f>P373+P368</f>
        <v>60962</v>
      </c>
      <c r="Q367" s="15">
        <f>Q373+Q368</f>
        <v>83243</v>
      </c>
      <c r="R367" s="15">
        <f>R373+R368</f>
        <v>208936</v>
      </c>
      <c r="T367" s="15">
        <f t="shared" si="137"/>
        <v>20962</v>
      </c>
    </row>
    <row r="368" spans="2:20" x14ac:dyDescent="0.25">
      <c r="B368" s="97">
        <f t="shared" si="141"/>
        <v>75</v>
      </c>
      <c r="C368" s="9"/>
      <c r="D368" s="9"/>
      <c r="E368" s="9"/>
      <c r="F368" s="54" t="s">
        <v>335</v>
      </c>
      <c r="G368" s="126">
        <v>716</v>
      </c>
      <c r="H368" s="9" t="s">
        <v>323</v>
      </c>
      <c r="I368" s="10"/>
      <c r="J368" s="10"/>
      <c r="K368" s="10"/>
      <c r="L368" s="10"/>
      <c r="M368" s="10"/>
      <c r="N368" s="10">
        <f>SUM(N369:N372)</f>
        <v>10250</v>
      </c>
      <c r="O368" s="10">
        <f>SUM(O369:O372)</f>
        <v>4000</v>
      </c>
      <c r="P368" s="10">
        <f t="shared" ref="P368:Q368" si="142">SUM(P369:P372)</f>
        <v>10250</v>
      </c>
      <c r="Q368" s="10">
        <f t="shared" si="142"/>
        <v>6408</v>
      </c>
      <c r="R368" s="10">
        <v>1583</v>
      </c>
      <c r="T368" s="10">
        <f t="shared" si="137"/>
        <v>10250</v>
      </c>
    </row>
    <row r="369" spans="2:20" x14ac:dyDescent="0.25">
      <c r="B369" s="97">
        <f t="shared" si="141"/>
        <v>76</v>
      </c>
      <c r="C369" s="12"/>
      <c r="D369" s="12"/>
      <c r="E369" s="12"/>
      <c r="F369" s="12"/>
      <c r="G369" s="127"/>
      <c r="H369" s="12" t="s">
        <v>960</v>
      </c>
      <c r="I369" s="13"/>
      <c r="J369" s="13"/>
      <c r="K369" s="13"/>
      <c r="L369" s="13"/>
      <c r="M369" s="13"/>
      <c r="N369" s="13">
        <v>10250</v>
      </c>
      <c r="O369" s="13">
        <v>1750</v>
      </c>
      <c r="P369" s="13">
        <f>10000+250</f>
        <v>10250</v>
      </c>
      <c r="Q369" s="13"/>
      <c r="R369" s="13"/>
      <c r="T369" s="13">
        <f t="shared" si="137"/>
        <v>10250</v>
      </c>
    </row>
    <row r="370" spans="2:20" x14ac:dyDescent="0.25">
      <c r="B370" s="97">
        <f t="shared" si="141"/>
        <v>77</v>
      </c>
      <c r="C370" s="12"/>
      <c r="D370" s="12"/>
      <c r="E370" s="12"/>
      <c r="F370" s="12"/>
      <c r="G370" s="127"/>
      <c r="H370" s="12" t="s">
        <v>383</v>
      </c>
      <c r="I370" s="13"/>
      <c r="J370" s="13"/>
      <c r="K370" s="13"/>
      <c r="L370" s="13"/>
      <c r="M370" s="13"/>
      <c r="N370" s="13"/>
      <c r="O370" s="13"/>
      <c r="P370" s="13"/>
      <c r="Q370" s="13">
        <v>3420</v>
      </c>
      <c r="R370" s="13"/>
      <c r="T370" s="13">
        <f t="shared" si="137"/>
        <v>0</v>
      </c>
    </row>
    <row r="371" spans="2:20" x14ac:dyDescent="0.25">
      <c r="B371" s="97">
        <f t="shared" si="141"/>
        <v>78</v>
      </c>
      <c r="C371" s="12"/>
      <c r="D371" s="12"/>
      <c r="E371" s="12"/>
      <c r="F371" s="12"/>
      <c r="G371" s="127"/>
      <c r="H371" s="12" t="s">
        <v>948</v>
      </c>
      <c r="I371" s="13"/>
      <c r="J371" s="13"/>
      <c r="K371" s="13"/>
      <c r="L371" s="13"/>
      <c r="M371" s="13"/>
      <c r="N371" s="13"/>
      <c r="O371" s="13"/>
      <c r="P371" s="13"/>
      <c r="Q371" s="13">
        <v>2988</v>
      </c>
      <c r="R371" s="13"/>
      <c r="T371" s="13">
        <f t="shared" si="137"/>
        <v>0</v>
      </c>
    </row>
    <row r="372" spans="2:20" x14ac:dyDescent="0.25">
      <c r="B372" s="97">
        <f t="shared" si="141"/>
        <v>79</v>
      </c>
      <c r="C372" s="12"/>
      <c r="D372" s="12"/>
      <c r="E372" s="12"/>
      <c r="F372" s="12"/>
      <c r="G372" s="127"/>
      <c r="H372" s="12" t="s">
        <v>949</v>
      </c>
      <c r="I372" s="13"/>
      <c r="J372" s="13"/>
      <c r="K372" s="13"/>
      <c r="L372" s="13"/>
      <c r="M372" s="13"/>
      <c r="N372" s="13"/>
      <c r="O372" s="13">
        <v>2250</v>
      </c>
      <c r="P372" s="13"/>
      <c r="Q372" s="13"/>
      <c r="R372" s="13"/>
      <c r="T372" s="13">
        <f t="shared" si="137"/>
        <v>0</v>
      </c>
    </row>
    <row r="373" spans="2:20" x14ac:dyDescent="0.25">
      <c r="B373" s="97">
        <f t="shared" si="141"/>
        <v>80</v>
      </c>
      <c r="C373" s="9"/>
      <c r="D373" s="9"/>
      <c r="E373" s="9"/>
      <c r="F373" s="54" t="s">
        <v>335</v>
      </c>
      <c r="G373" s="126">
        <v>717</v>
      </c>
      <c r="H373" s="9" t="s">
        <v>327</v>
      </c>
      <c r="I373" s="10"/>
      <c r="J373" s="10"/>
      <c r="K373" s="10"/>
      <c r="L373" s="10"/>
      <c r="M373" s="10"/>
      <c r="N373" s="10">
        <f>SUM(N374:N380)</f>
        <v>10712</v>
      </c>
      <c r="O373" s="10">
        <f>SUM(O374:O380)</f>
        <v>30212</v>
      </c>
      <c r="P373" s="10">
        <f t="shared" ref="P373:R373" si="143">SUM(P374:P380)</f>
        <v>50712</v>
      </c>
      <c r="Q373" s="10">
        <f t="shared" si="143"/>
        <v>76835</v>
      </c>
      <c r="R373" s="10">
        <f t="shared" si="143"/>
        <v>207353</v>
      </c>
      <c r="T373" s="10">
        <f t="shared" si="137"/>
        <v>10712</v>
      </c>
    </row>
    <row r="374" spans="2:20" x14ac:dyDescent="0.25">
      <c r="B374" s="97">
        <f t="shared" si="141"/>
        <v>81</v>
      </c>
      <c r="C374" s="12"/>
      <c r="D374" s="12"/>
      <c r="E374" s="12"/>
      <c r="F374" s="12"/>
      <c r="G374" s="127"/>
      <c r="H374" s="12" t="s">
        <v>384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>
        <v>207353</v>
      </c>
      <c r="T374" s="13">
        <f t="shared" si="137"/>
        <v>0</v>
      </c>
    </row>
    <row r="375" spans="2:20" x14ac:dyDescent="0.25">
      <c r="B375" s="97">
        <f t="shared" si="141"/>
        <v>82</v>
      </c>
      <c r="C375" s="12"/>
      <c r="D375" s="12"/>
      <c r="E375" s="12"/>
      <c r="F375" s="12"/>
      <c r="G375" s="127"/>
      <c r="H375" s="12" t="s">
        <v>950</v>
      </c>
      <c r="I375" s="13"/>
      <c r="J375" s="13"/>
      <c r="K375" s="13"/>
      <c r="L375" s="13"/>
      <c r="M375" s="13"/>
      <c r="N375" s="13"/>
      <c r="O375" s="13"/>
      <c r="P375" s="13"/>
      <c r="Q375" s="13">
        <v>46500</v>
      </c>
      <c r="R375" s="13"/>
      <c r="T375" s="13">
        <f t="shared" si="137"/>
        <v>0</v>
      </c>
    </row>
    <row r="376" spans="2:20" x14ac:dyDescent="0.25">
      <c r="B376" s="97">
        <f t="shared" si="141"/>
        <v>83</v>
      </c>
      <c r="C376" s="12"/>
      <c r="D376" s="12"/>
      <c r="E376" s="12"/>
      <c r="F376" s="12"/>
      <c r="G376" s="127"/>
      <c r="H376" s="12" t="s">
        <v>385</v>
      </c>
      <c r="I376" s="13"/>
      <c r="J376" s="13"/>
      <c r="K376" s="13"/>
      <c r="L376" s="13"/>
      <c r="M376" s="13"/>
      <c r="N376" s="13"/>
      <c r="O376" s="13">
        <v>19000</v>
      </c>
      <c r="P376" s="13">
        <v>19000</v>
      </c>
      <c r="Q376" s="13">
        <v>20635</v>
      </c>
      <c r="R376" s="13"/>
      <c r="T376" s="13">
        <f t="shared" si="137"/>
        <v>0</v>
      </c>
    </row>
    <row r="377" spans="2:20" x14ac:dyDescent="0.25">
      <c r="B377" s="97">
        <f t="shared" si="141"/>
        <v>84</v>
      </c>
      <c r="C377" s="12"/>
      <c r="D377" s="12"/>
      <c r="E377" s="12"/>
      <c r="F377" s="12"/>
      <c r="G377" s="127"/>
      <c r="H377" s="91" t="s">
        <v>822</v>
      </c>
      <c r="I377" s="13"/>
      <c r="J377" s="13"/>
      <c r="K377" s="13"/>
      <c r="L377" s="13"/>
      <c r="M377" s="13"/>
      <c r="N377" s="13">
        <v>10712</v>
      </c>
      <c r="O377" s="13">
        <v>3712</v>
      </c>
      <c r="P377" s="13">
        <v>10712</v>
      </c>
      <c r="Q377" s="13">
        <v>300</v>
      </c>
      <c r="R377" s="13"/>
      <c r="T377" s="13">
        <f t="shared" si="137"/>
        <v>10712</v>
      </c>
    </row>
    <row r="378" spans="2:20" x14ac:dyDescent="0.25">
      <c r="B378" s="97">
        <f t="shared" si="141"/>
        <v>85</v>
      </c>
      <c r="C378" s="12"/>
      <c r="D378" s="12"/>
      <c r="E378" s="12"/>
      <c r="F378" s="12"/>
      <c r="G378" s="127"/>
      <c r="H378" s="12" t="s">
        <v>386</v>
      </c>
      <c r="I378" s="13"/>
      <c r="J378" s="13"/>
      <c r="K378" s="13"/>
      <c r="L378" s="13"/>
      <c r="M378" s="13"/>
      <c r="N378" s="13"/>
      <c r="O378" s="13"/>
      <c r="P378" s="13"/>
      <c r="Q378" s="13">
        <v>9400</v>
      </c>
      <c r="R378" s="13"/>
      <c r="T378" s="13">
        <f t="shared" si="137"/>
        <v>0</v>
      </c>
    </row>
    <row r="379" spans="2:20" x14ac:dyDescent="0.25">
      <c r="B379" s="97">
        <f t="shared" si="141"/>
        <v>86</v>
      </c>
      <c r="C379" s="12"/>
      <c r="D379" s="12"/>
      <c r="E379" s="12"/>
      <c r="F379" s="12"/>
      <c r="G379" s="127"/>
      <c r="H379" s="12" t="s">
        <v>949</v>
      </c>
      <c r="I379" s="13"/>
      <c r="J379" s="13"/>
      <c r="K379" s="13"/>
      <c r="L379" s="13"/>
      <c r="M379" s="13"/>
      <c r="N379" s="13"/>
      <c r="O379" s="13">
        <v>7500</v>
      </c>
      <c r="P379" s="13">
        <v>9000</v>
      </c>
      <c r="Q379" s="13"/>
      <c r="R379" s="13"/>
      <c r="T379" s="13">
        <f t="shared" si="137"/>
        <v>0</v>
      </c>
    </row>
    <row r="380" spans="2:20" x14ac:dyDescent="0.25">
      <c r="B380" s="97">
        <f t="shared" si="141"/>
        <v>87</v>
      </c>
      <c r="C380" s="12"/>
      <c r="D380" s="12"/>
      <c r="E380" s="12"/>
      <c r="F380" s="12"/>
      <c r="G380" s="127"/>
      <c r="H380" s="12" t="s">
        <v>387</v>
      </c>
      <c r="I380" s="13"/>
      <c r="J380" s="13"/>
      <c r="K380" s="13"/>
      <c r="L380" s="13"/>
      <c r="M380" s="13"/>
      <c r="N380" s="13"/>
      <c r="O380" s="13"/>
      <c r="P380" s="13">
        <v>12000</v>
      </c>
      <c r="Q380" s="13"/>
      <c r="R380" s="13"/>
      <c r="T380" s="13">
        <f t="shared" si="137"/>
        <v>0</v>
      </c>
    </row>
    <row r="381" spans="2:20" ht="15.75" x14ac:dyDescent="0.25">
      <c r="B381" s="97">
        <f t="shared" si="141"/>
        <v>88</v>
      </c>
      <c r="C381" s="45">
        <v>7</v>
      </c>
      <c r="D381" s="293" t="s">
        <v>388</v>
      </c>
      <c r="E381" s="294"/>
      <c r="F381" s="294"/>
      <c r="G381" s="294"/>
      <c r="H381" s="295"/>
      <c r="I381" s="46">
        <f>I387</f>
        <v>2300</v>
      </c>
      <c r="J381" s="46">
        <f t="shared" ref="J381:R381" si="144">J382</f>
        <v>2870</v>
      </c>
      <c r="K381" s="46">
        <f t="shared" si="144"/>
        <v>2870</v>
      </c>
      <c r="L381" s="46">
        <f t="shared" si="144"/>
        <v>2646</v>
      </c>
      <c r="M381" s="46">
        <f t="shared" si="144"/>
        <v>1607</v>
      </c>
      <c r="N381" s="46">
        <v>0</v>
      </c>
      <c r="O381" s="46">
        <f t="shared" si="144"/>
        <v>0</v>
      </c>
      <c r="P381" s="46">
        <f t="shared" si="144"/>
        <v>0</v>
      </c>
      <c r="Q381" s="46">
        <f t="shared" si="144"/>
        <v>14614</v>
      </c>
      <c r="R381" s="46">
        <f t="shared" si="144"/>
        <v>0</v>
      </c>
      <c r="T381" s="46">
        <f t="shared" si="137"/>
        <v>2300</v>
      </c>
    </row>
    <row r="382" spans="2:20" hidden="1" x14ac:dyDescent="0.25">
      <c r="B382" s="97">
        <f t="shared" si="141"/>
        <v>89</v>
      </c>
      <c r="C382" s="47"/>
      <c r="D382" s="47" t="s">
        <v>60</v>
      </c>
      <c r="E382" s="296"/>
      <c r="F382" s="294"/>
      <c r="G382" s="294"/>
      <c r="H382" s="295"/>
      <c r="I382" s="48" t="e">
        <f>#REF!+#REF!</f>
        <v>#REF!</v>
      </c>
      <c r="J382" s="48">
        <f>J387+J383</f>
        <v>2870</v>
      </c>
      <c r="K382" s="48">
        <f>K387+K383</f>
        <v>2870</v>
      </c>
      <c r="L382" s="48">
        <f>L387+L383</f>
        <v>2646</v>
      </c>
      <c r="M382" s="48">
        <f>M387+M383</f>
        <v>1607</v>
      </c>
      <c r="N382" s="48" t="e">
        <f>#REF!+#REF!</f>
        <v>#REF!</v>
      </c>
      <c r="O382" s="48">
        <f>O387+O383</f>
        <v>0</v>
      </c>
      <c r="P382" s="48">
        <f>P387+P383</f>
        <v>0</v>
      </c>
      <c r="Q382" s="48">
        <f>Q387+Q383</f>
        <v>14614</v>
      </c>
      <c r="R382" s="48">
        <f>R387+R383</f>
        <v>0</v>
      </c>
      <c r="T382" s="48" t="e">
        <f t="shared" si="137"/>
        <v>#REF!</v>
      </c>
    </row>
    <row r="383" spans="2:20" hidden="1" x14ac:dyDescent="0.25">
      <c r="B383" s="97">
        <f t="shared" si="141"/>
        <v>90</v>
      </c>
      <c r="C383" s="49"/>
      <c r="D383" s="49"/>
      <c r="E383" s="49"/>
      <c r="F383" s="49"/>
      <c r="G383" s="123"/>
      <c r="H383" s="49" t="s">
        <v>12</v>
      </c>
      <c r="I383" s="50" t="e">
        <f>#REF!+#REF!</f>
        <v>#REF!</v>
      </c>
      <c r="J383" s="50">
        <f t="shared" ref="J383:M384" si="145">J384</f>
        <v>0</v>
      </c>
      <c r="K383" s="50">
        <f t="shared" si="145"/>
        <v>0</v>
      </c>
      <c r="L383" s="50">
        <f t="shared" si="145"/>
        <v>0</v>
      </c>
      <c r="M383" s="50">
        <f t="shared" si="145"/>
        <v>0</v>
      </c>
      <c r="N383" s="50" t="e">
        <f>#REF!+#REF!</f>
        <v>#REF!</v>
      </c>
      <c r="O383" s="50">
        <f t="shared" ref="O383:R385" si="146">O384</f>
        <v>0</v>
      </c>
      <c r="P383" s="50">
        <f t="shared" si="146"/>
        <v>0</v>
      </c>
      <c r="Q383" s="50">
        <f t="shared" si="146"/>
        <v>14614</v>
      </c>
      <c r="R383" s="50">
        <f t="shared" si="146"/>
        <v>0</v>
      </c>
      <c r="T383" s="50" t="e">
        <f t="shared" si="137"/>
        <v>#REF!</v>
      </c>
    </row>
    <row r="384" spans="2:20" hidden="1" x14ac:dyDescent="0.25">
      <c r="B384" s="97">
        <f t="shared" si="141"/>
        <v>91</v>
      </c>
      <c r="C384" s="51"/>
      <c r="D384" s="51"/>
      <c r="E384" s="51" t="s">
        <v>60</v>
      </c>
      <c r="F384" s="51"/>
      <c r="G384" s="124"/>
      <c r="H384" s="51"/>
      <c r="I384" s="52" t="e">
        <f>#REF!+#REF!</f>
        <v>#REF!</v>
      </c>
      <c r="J384" s="52">
        <f t="shared" si="145"/>
        <v>0</v>
      </c>
      <c r="K384" s="52">
        <f t="shared" si="145"/>
        <v>0</v>
      </c>
      <c r="L384" s="52">
        <f t="shared" si="145"/>
        <v>0</v>
      </c>
      <c r="M384" s="52">
        <f t="shared" si="145"/>
        <v>0</v>
      </c>
      <c r="N384" s="52" t="e">
        <f>#REF!+#REF!</f>
        <v>#REF!</v>
      </c>
      <c r="O384" s="52">
        <f t="shared" si="146"/>
        <v>0</v>
      </c>
      <c r="P384" s="52">
        <f t="shared" si="146"/>
        <v>0</v>
      </c>
      <c r="Q384" s="52">
        <f t="shared" si="146"/>
        <v>14614</v>
      </c>
      <c r="R384" s="52">
        <f t="shared" si="146"/>
        <v>0</v>
      </c>
      <c r="T384" s="52" t="e">
        <f t="shared" si="137"/>
        <v>#REF!</v>
      </c>
    </row>
    <row r="385" spans="2:20" x14ac:dyDescent="0.25">
      <c r="B385" s="97">
        <f t="shared" si="141"/>
        <v>92</v>
      </c>
      <c r="C385" s="29"/>
      <c r="D385" s="29"/>
      <c r="E385" s="29"/>
      <c r="F385" s="53" t="s">
        <v>344</v>
      </c>
      <c r="G385" s="125">
        <v>710</v>
      </c>
      <c r="H385" s="29" t="s">
        <v>321</v>
      </c>
      <c r="I385" s="15"/>
      <c r="J385" s="15"/>
      <c r="K385" s="15"/>
      <c r="L385" s="15"/>
      <c r="M385" s="15"/>
      <c r="N385" s="15"/>
      <c r="O385" s="15"/>
      <c r="P385" s="15"/>
      <c r="Q385" s="15">
        <f t="shared" si="146"/>
        <v>14614</v>
      </c>
      <c r="R385" s="15"/>
      <c r="T385" s="15">
        <f t="shared" si="137"/>
        <v>0</v>
      </c>
    </row>
    <row r="386" spans="2:20" x14ac:dyDescent="0.25">
      <c r="B386" s="97">
        <f t="shared" si="141"/>
        <v>93</v>
      </c>
      <c r="C386" s="9"/>
      <c r="D386" s="9"/>
      <c r="E386" s="9"/>
      <c r="F386" s="54" t="s">
        <v>344</v>
      </c>
      <c r="G386" s="126">
        <v>717</v>
      </c>
      <c r="H386" s="9" t="s">
        <v>327</v>
      </c>
      <c r="I386" s="10"/>
      <c r="J386" s="10"/>
      <c r="K386" s="10"/>
      <c r="L386" s="10"/>
      <c r="M386" s="10"/>
      <c r="N386" s="10"/>
      <c r="O386" s="10"/>
      <c r="P386" s="10"/>
      <c r="Q386" s="10">
        <v>14614</v>
      </c>
      <c r="R386" s="10"/>
      <c r="T386" s="10">
        <f t="shared" si="137"/>
        <v>0</v>
      </c>
    </row>
    <row r="387" spans="2:20" x14ac:dyDescent="0.25">
      <c r="B387" s="97">
        <f t="shared" si="141"/>
        <v>94</v>
      </c>
      <c r="C387" s="49"/>
      <c r="D387" s="49"/>
      <c r="E387" s="49">
        <v>2</v>
      </c>
      <c r="F387" s="49"/>
      <c r="G387" s="123"/>
      <c r="H387" s="49" t="s">
        <v>59</v>
      </c>
      <c r="I387" s="50">
        <f>I389+I390+I391</f>
        <v>2300</v>
      </c>
      <c r="J387" s="50">
        <f t="shared" ref="J387:M387" si="147">J389+J390+J391</f>
        <v>2870</v>
      </c>
      <c r="K387" s="50">
        <f t="shared" si="147"/>
        <v>2870</v>
      </c>
      <c r="L387" s="50">
        <f t="shared" si="147"/>
        <v>2646</v>
      </c>
      <c r="M387" s="50">
        <f t="shared" si="147"/>
        <v>1607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T387" s="50">
        <f t="shared" si="137"/>
        <v>2300</v>
      </c>
    </row>
    <row r="388" spans="2:20" hidden="1" x14ac:dyDescent="0.25">
      <c r="B388" s="97">
        <f t="shared" si="141"/>
        <v>95</v>
      </c>
      <c r="C388" s="51"/>
      <c r="D388" s="51"/>
      <c r="E388" s="51" t="s">
        <v>60</v>
      </c>
      <c r="F388" s="51"/>
      <c r="G388" s="124"/>
      <c r="H388" s="51" t="s">
        <v>389</v>
      </c>
      <c r="I388" s="52" t="e">
        <f>#REF!+#REF!</f>
        <v>#REF!</v>
      </c>
      <c r="J388" s="52" t="e">
        <f>#REF!+J391+J390+J389</f>
        <v>#REF!</v>
      </c>
      <c r="K388" s="52" t="e">
        <f>#REF!+K391+K390+K389</f>
        <v>#REF!</v>
      </c>
      <c r="L388" s="52" t="e">
        <f>#REF!+L391+L390+L389</f>
        <v>#REF!</v>
      </c>
      <c r="M388" s="52" t="e">
        <f>#REF!+M391+M390+M389</f>
        <v>#REF!</v>
      </c>
      <c r="N388" s="52" t="e">
        <f>#REF!+#REF!</f>
        <v>#REF!</v>
      </c>
      <c r="O388" s="52" t="e">
        <f>#REF!+O391+O390+O389</f>
        <v>#REF!</v>
      </c>
      <c r="P388" s="52" t="e">
        <f>#REF!+P391+P390+P389</f>
        <v>#REF!</v>
      </c>
      <c r="Q388" s="52" t="e">
        <f>#REF!+Q391+Q390+Q389</f>
        <v>#REF!</v>
      </c>
      <c r="R388" s="52" t="e">
        <f>#REF!+R391+R390+R389</f>
        <v>#REF!</v>
      </c>
      <c r="T388" s="52" t="e">
        <f t="shared" si="137"/>
        <v>#REF!</v>
      </c>
    </row>
    <row r="389" spans="2:20" x14ac:dyDescent="0.25">
      <c r="B389" s="97">
        <f t="shared" si="141"/>
        <v>96</v>
      </c>
      <c r="C389" s="29"/>
      <c r="D389" s="29"/>
      <c r="E389" s="29"/>
      <c r="F389" s="53" t="s">
        <v>344</v>
      </c>
      <c r="G389" s="125">
        <v>610</v>
      </c>
      <c r="H389" s="29" t="s">
        <v>338</v>
      </c>
      <c r="I389" s="15">
        <v>0</v>
      </c>
      <c r="J389" s="15">
        <v>700</v>
      </c>
      <c r="K389" s="15">
        <v>700</v>
      </c>
      <c r="L389" s="15">
        <v>690</v>
      </c>
      <c r="M389" s="15">
        <v>693</v>
      </c>
      <c r="N389" s="15"/>
      <c r="O389" s="15"/>
      <c r="P389" s="15"/>
      <c r="Q389" s="15"/>
      <c r="R389" s="15"/>
      <c r="T389" s="15">
        <f t="shared" si="137"/>
        <v>0</v>
      </c>
    </row>
    <row r="390" spans="2:20" x14ac:dyDescent="0.25">
      <c r="B390" s="97">
        <f t="shared" si="141"/>
        <v>97</v>
      </c>
      <c r="C390" s="29"/>
      <c r="D390" s="29"/>
      <c r="E390" s="29"/>
      <c r="F390" s="53" t="s">
        <v>344</v>
      </c>
      <c r="G390" s="125">
        <v>620</v>
      </c>
      <c r="H390" s="29" t="s">
        <v>313</v>
      </c>
      <c r="I390" s="15">
        <v>0</v>
      </c>
      <c r="J390" s="15">
        <v>240</v>
      </c>
      <c r="K390" s="15">
        <v>240</v>
      </c>
      <c r="L390" s="15">
        <v>243</v>
      </c>
      <c r="M390" s="15">
        <v>245</v>
      </c>
      <c r="N390" s="15"/>
      <c r="O390" s="15"/>
      <c r="P390" s="15"/>
      <c r="Q390" s="15"/>
      <c r="R390" s="15"/>
      <c r="T390" s="15">
        <f t="shared" si="137"/>
        <v>0</v>
      </c>
    </row>
    <row r="391" spans="2:20" x14ac:dyDescent="0.25">
      <c r="B391" s="97">
        <f t="shared" si="141"/>
        <v>98</v>
      </c>
      <c r="C391" s="29"/>
      <c r="D391" s="29"/>
      <c r="E391" s="29"/>
      <c r="F391" s="53" t="s">
        <v>344</v>
      </c>
      <c r="G391" s="125">
        <v>630</v>
      </c>
      <c r="H391" s="29" t="s">
        <v>303</v>
      </c>
      <c r="I391" s="15">
        <f>SUM(I392:I395)</f>
        <v>2300</v>
      </c>
      <c r="J391" s="15">
        <f>SUM(J392:J395)</f>
        <v>1930</v>
      </c>
      <c r="K391" s="15">
        <f t="shared" ref="K391:M391" si="148">SUM(K392:K395)</f>
        <v>1930</v>
      </c>
      <c r="L391" s="15">
        <f t="shared" si="148"/>
        <v>1713</v>
      </c>
      <c r="M391" s="15">
        <f t="shared" si="148"/>
        <v>669</v>
      </c>
      <c r="N391" s="15"/>
      <c r="O391" s="15"/>
      <c r="P391" s="15"/>
      <c r="Q391" s="15"/>
      <c r="R391" s="15"/>
      <c r="T391" s="15">
        <f t="shared" si="137"/>
        <v>2300</v>
      </c>
    </row>
    <row r="392" spans="2:20" x14ac:dyDescent="0.25">
      <c r="B392" s="97">
        <f t="shared" si="141"/>
        <v>99</v>
      </c>
      <c r="C392" s="9"/>
      <c r="D392" s="9"/>
      <c r="E392" s="9"/>
      <c r="F392" s="54" t="s">
        <v>344</v>
      </c>
      <c r="G392" s="126">
        <v>633</v>
      </c>
      <c r="H392" s="9" t="s">
        <v>305</v>
      </c>
      <c r="I392" s="10">
        <v>1300</v>
      </c>
      <c r="J392" s="10">
        <v>800</v>
      </c>
      <c r="K392" s="10">
        <v>800</v>
      </c>
      <c r="L392" s="10">
        <v>718</v>
      </c>
      <c r="M392" s="10">
        <v>300</v>
      </c>
      <c r="N392" s="10"/>
      <c r="O392" s="10"/>
      <c r="P392" s="10"/>
      <c r="Q392" s="10"/>
      <c r="R392" s="10"/>
      <c r="T392" s="10">
        <f t="shared" si="137"/>
        <v>1300</v>
      </c>
    </row>
    <row r="393" spans="2:20" x14ac:dyDescent="0.25">
      <c r="B393" s="97">
        <f t="shared" si="141"/>
        <v>100</v>
      </c>
      <c r="C393" s="9"/>
      <c r="D393" s="9"/>
      <c r="E393" s="9"/>
      <c r="F393" s="54" t="s">
        <v>344</v>
      </c>
      <c r="G393" s="126">
        <v>634</v>
      </c>
      <c r="H393" s="9" t="s">
        <v>306</v>
      </c>
      <c r="I393" s="10">
        <v>450</v>
      </c>
      <c r="J393" s="10">
        <v>450</v>
      </c>
      <c r="K393" s="10">
        <v>450</v>
      </c>
      <c r="L393" s="10">
        <v>210</v>
      </c>
      <c r="M393" s="10">
        <v>237</v>
      </c>
      <c r="N393" s="10"/>
      <c r="O393" s="10"/>
      <c r="P393" s="10"/>
      <c r="Q393" s="10"/>
      <c r="R393" s="10"/>
      <c r="T393" s="10">
        <f t="shared" si="137"/>
        <v>450</v>
      </c>
    </row>
    <row r="394" spans="2:20" x14ac:dyDescent="0.25">
      <c r="B394" s="97">
        <f t="shared" si="141"/>
        <v>101</v>
      </c>
      <c r="C394" s="9"/>
      <c r="D394" s="9"/>
      <c r="E394" s="9"/>
      <c r="F394" s="54" t="s">
        <v>344</v>
      </c>
      <c r="G394" s="126">
        <v>635</v>
      </c>
      <c r="H394" s="9" t="s">
        <v>320</v>
      </c>
      <c r="I394" s="10">
        <v>350</v>
      </c>
      <c r="J394" s="10">
        <v>350</v>
      </c>
      <c r="K394" s="10">
        <v>350</v>
      </c>
      <c r="L394" s="10">
        <v>684</v>
      </c>
      <c r="M394" s="10">
        <v>0</v>
      </c>
      <c r="N394" s="10"/>
      <c r="O394" s="10"/>
      <c r="P394" s="10"/>
      <c r="Q394" s="10"/>
      <c r="R394" s="10"/>
      <c r="T394" s="10">
        <f t="shared" si="137"/>
        <v>350</v>
      </c>
    </row>
    <row r="395" spans="2:20" x14ac:dyDescent="0.25">
      <c r="B395" s="97">
        <f t="shared" ref="B395" si="149">B394+1</f>
        <v>102</v>
      </c>
      <c r="C395" s="9"/>
      <c r="D395" s="9"/>
      <c r="E395" s="9"/>
      <c r="F395" s="54" t="s">
        <v>344</v>
      </c>
      <c r="G395" s="126">
        <v>637</v>
      </c>
      <c r="H395" s="9" t="s">
        <v>308</v>
      </c>
      <c r="I395" s="10">
        <v>200</v>
      </c>
      <c r="J395" s="10">
        <v>330</v>
      </c>
      <c r="K395" s="10">
        <v>330</v>
      </c>
      <c r="L395" s="10">
        <v>101</v>
      </c>
      <c r="M395" s="10">
        <v>132</v>
      </c>
      <c r="N395" s="10"/>
      <c r="O395" s="10"/>
      <c r="P395" s="10"/>
      <c r="Q395" s="10"/>
      <c r="R395" s="10"/>
      <c r="T395" s="10">
        <f t="shared" si="137"/>
        <v>200</v>
      </c>
    </row>
    <row r="419" spans="2:20" ht="27" x14ac:dyDescent="0.35">
      <c r="B419" s="310" t="s">
        <v>390</v>
      </c>
      <c r="C419" s="311"/>
      <c r="D419" s="311"/>
      <c r="E419" s="311"/>
      <c r="F419" s="311"/>
      <c r="G419" s="311"/>
      <c r="H419" s="311"/>
      <c r="I419" s="311"/>
      <c r="J419" s="311"/>
      <c r="K419" s="311"/>
      <c r="L419" s="311"/>
      <c r="M419" s="311"/>
      <c r="N419" s="311"/>
      <c r="O419" s="311"/>
      <c r="P419" s="311"/>
      <c r="Q419" s="311"/>
      <c r="R419" s="311"/>
    </row>
    <row r="420" spans="2:20" ht="15.75" customHeight="1" x14ac:dyDescent="0.25">
      <c r="B420" s="279" t="s">
        <v>286</v>
      </c>
      <c r="C420" s="280"/>
      <c r="D420" s="280"/>
      <c r="E420" s="280"/>
      <c r="F420" s="280"/>
      <c r="G420" s="280"/>
      <c r="H420" s="280"/>
      <c r="I420" s="280"/>
      <c r="J420" s="280"/>
      <c r="K420" s="280"/>
      <c r="L420" s="280"/>
      <c r="M420" s="280"/>
      <c r="N420" s="280"/>
      <c r="O420" s="280"/>
      <c r="P420" s="280"/>
      <c r="Q420" s="280"/>
      <c r="R420" s="281"/>
      <c r="T420" s="314" t="s">
        <v>937</v>
      </c>
    </row>
    <row r="421" spans="2:20" ht="12.75" customHeight="1" x14ac:dyDescent="0.25">
      <c r="B421" s="282"/>
      <c r="C421" s="285" t="s">
        <v>287</v>
      </c>
      <c r="D421" s="285" t="s">
        <v>288</v>
      </c>
      <c r="E421" s="285" t="s">
        <v>289</v>
      </c>
      <c r="F421" s="285" t="s">
        <v>290</v>
      </c>
      <c r="G421" s="303" t="s">
        <v>291</v>
      </c>
      <c r="H421" s="305" t="s">
        <v>292</v>
      </c>
      <c r="I421" s="308" t="s">
        <v>935</v>
      </c>
      <c r="J421" s="299" t="s">
        <v>293</v>
      </c>
      <c r="K421" s="299" t="s">
        <v>294</v>
      </c>
      <c r="L421" s="288" t="s">
        <v>295</v>
      </c>
      <c r="M421" s="288" t="s">
        <v>296</v>
      </c>
      <c r="N421" s="301" t="s">
        <v>936</v>
      </c>
      <c r="O421" s="297" t="s">
        <v>297</v>
      </c>
      <c r="P421" s="299" t="s">
        <v>772</v>
      </c>
      <c r="Q421" s="288" t="s">
        <v>298</v>
      </c>
      <c r="R421" s="288" t="s">
        <v>299</v>
      </c>
      <c r="T421" s="314"/>
    </row>
    <row r="422" spans="2:20" x14ac:dyDescent="0.25">
      <c r="B422" s="283"/>
      <c r="C422" s="286"/>
      <c r="D422" s="286"/>
      <c r="E422" s="286"/>
      <c r="F422" s="286"/>
      <c r="G422" s="303"/>
      <c r="H422" s="306"/>
      <c r="I422" s="308"/>
      <c r="J422" s="299"/>
      <c r="K422" s="299"/>
      <c r="L422" s="288"/>
      <c r="M422" s="288"/>
      <c r="N422" s="301"/>
      <c r="O422" s="297"/>
      <c r="P422" s="299"/>
      <c r="Q422" s="288"/>
      <c r="R422" s="288"/>
      <c r="T422" s="314"/>
    </row>
    <row r="423" spans="2:20" x14ac:dyDescent="0.25">
      <c r="B423" s="283"/>
      <c r="C423" s="286"/>
      <c r="D423" s="286"/>
      <c r="E423" s="286"/>
      <c r="F423" s="286"/>
      <c r="G423" s="303"/>
      <c r="H423" s="306"/>
      <c r="I423" s="308"/>
      <c r="J423" s="299"/>
      <c r="K423" s="299"/>
      <c r="L423" s="288"/>
      <c r="M423" s="288"/>
      <c r="N423" s="301"/>
      <c r="O423" s="297"/>
      <c r="P423" s="299"/>
      <c r="Q423" s="288"/>
      <c r="R423" s="288"/>
      <c r="T423" s="314"/>
    </row>
    <row r="424" spans="2:20" ht="15.75" thickBot="1" x14ac:dyDescent="0.3">
      <c r="B424" s="284"/>
      <c r="C424" s="287"/>
      <c r="D424" s="287"/>
      <c r="E424" s="287"/>
      <c r="F424" s="287"/>
      <c r="G424" s="304"/>
      <c r="H424" s="307"/>
      <c r="I424" s="309"/>
      <c r="J424" s="300"/>
      <c r="K424" s="300"/>
      <c r="L424" s="289"/>
      <c r="M424" s="289"/>
      <c r="N424" s="302"/>
      <c r="O424" s="298"/>
      <c r="P424" s="300"/>
      <c r="Q424" s="289"/>
      <c r="R424" s="289"/>
      <c r="T424" s="314"/>
    </row>
    <row r="425" spans="2:20" ht="16.5" thickTop="1" x14ac:dyDescent="0.25">
      <c r="B425" s="98">
        <v>1</v>
      </c>
      <c r="C425" s="290" t="s">
        <v>390</v>
      </c>
      <c r="D425" s="291"/>
      <c r="E425" s="291"/>
      <c r="F425" s="291"/>
      <c r="G425" s="291"/>
      <c r="H425" s="292"/>
      <c r="I425" s="44">
        <f>I426+I449+I488+I497+I503</f>
        <v>1657425</v>
      </c>
      <c r="J425" s="44">
        <f>J503+J497+J488+J449+J426</f>
        <v>1514400</v>
      </c>
      <c r="K425" s="44">
        <f>K503+K497+K488+K449+K426</f>
        <v>1549500</v>
      </c>
      <c r="L425" s="44">
        <f>L503+L497+L488+L449+L426</f>
        <v>1566213.07</v>
      </c>
      <c r="M425" s="44">
        <f>M503+M497+M488+M449+M426</f>
        <v>1475246.5899999999</v>
      </c>
      <c r="N425" s="44">
        <f>N426+N449+N488+N497+N503</f>
        <v>16700</v>
      </c>
      <c r="O425" s="44">
        <f>O503+O497+O488+O449+O426</f>
        <v>65400</v>
      </c>
      <c r="P425" s="44">
        <f>P503+P497+P488+P449+P426</f>
        <v>148177</v>
      </c>
      <c r="Q425" s="44">
        <f>Q503+Q497+Q488+Q449+Q426</f>
        <v>343635</v>
      </c>
      <c r="R425" s="44">
        <f>R503+R497+R488+R449+R426</f>
        <v>1192102.72</v>
      </c>
      <c r="T425" s="44">
        <f>N425+I425</f>
        <v>1674125</v>
      </c>
    </row>
    <row r="426" spans="2:20" ht="15.75" x14ac:dyDescent="0.25">
      <c r="B426" s="97">
        <f>B425+1</f>
        <v>2</v>
      </c>
      <c r="C426" s="45">
        <v>1</v>
      </c>
      <c r="D426" s="293" t="s">
        <v>391</v>
      </c>
      <c r="E426" s="294"/>
      <c r="F426" s="294"/>
      <c r="G426" s="294"/>
      <c r="H426" s="295"/>
      <c r="I426" s="46">
        <f>I430+I431+I432+I440+I442</f>
        <v>1048800</v>
      </c>
      <c r="J426" s="46">
        <f t="shared" ref="J426:M428" si="150">J427</f>
        <v>982800</v>
      </c>
      <c r="K426" s="46">
        <f t="shared" si="150"/>
        <v>1014700</v>
      </c>
      <c r="L426" s="46">
        <f t="shared" si="150"/>
        <v>861142.15</v>
      </c>
      <c r="M426" s="46">
        <f t="shared" si="150"/>
        <v>857040.46</v>
      </c>
      <c r="N426" s="46">
        <f>N444</f>
        <v>15000</v>
      </c>
      <c r="O426" s="46">
        <f t="shared" ref="O426:R428" si="151">O427</f>
        <v>14200</v>
      </c>
      <c r="P426" s="46">
        <f t="shared" si="151"/>
        <v>30100</v>
      </c>
      <c r="Q426" s="46">
        <f t="shared" si="151"/>
        <v>12600</v>
      </c>
      <c r="R426" s="46">
        <f t="shared" si="151"/>
        <v>0</v>
      </c>
      <c r="T426" s="46">
        <f t="shared" ref="T426:T489" si="152">N426+I426</f>
        <v>1063800</v>
      </c>
    </row>
    <row r="427" spans="2:20" hidden="1" x14ac:dyDescent="0.25">
      <c r="B427" s="97">
        <f t="shared" ref="B427:B490" si="153">B426+1</f>
        <v>3</v>
      </c>
      <c r="C427" s="47"/>
      <c r="D427" s="47" t="s">
        <v>60</v>
      </c>
      <c r="E427" s="296"/>
      <c r="F427" s="294"/>
      <c r="G427" s="294"/>
      <c r="H427" s="295"/>
      <c r="I427" s="48" t="e">
        <f>#REF!+#REF!</f>
        <v>#REF!</v>
      </c>
      <c r="J427" s="48">
        <f t="shared" si="150"/>
        <v>982800</v>
      </c>
      <c r="K427" s="48">
        <f t="shared" si="150"/>
        <v>1014700</v>
      </c>
      <c r="L427" s="48">
        <f t="shared" si="150"/>
        <v>861142.15</v>
      </c>
      <c r="M427" s="48">
        <f t="shared" si="150"/>
        <v>857040.46</v>
      </c>
      <c r="N427" s="48" t="e">
        <f>#REF!+#REF!</f>
        <v>#REF!</v>
      </c>
      <c r="O427" s="48">
        <f t="shared" si="151"/>
        <v>14200</v>
      </c>
      <c r="P427" s="48">
        <f t="shared" si="151"/>
        <v>30100</v>
      </c>
      <c r="Q427" s="48">
        <f t="shared" si="151"/>
        <v>12600</v>
      </c>
      <c r="R427" s="48">
        <f t="shared" si="151"/>
        <v>0</v>
      </c>
      <c r="T427" s="48" t="e">
        <f t="shared" si="152"/>
        <v>#REF!</v>
      </c>
    </row>
    <row r="428" spans="2:20" hidden="1" x14ac:dyDescent="0.25">
      <c r="B428" s="97">
        <f t="shared" si="153"/>
        <v>4</v>
      </c>
      <c r="C428" s="49"/>
      <c r="D428" s="49"/>
      <c r="E428" s="49"/>
      <c r="F428" s="49"/>
      <c r="G428" s="123"/>
      <c r="H428" s="49" t="s">
        <v>12</v>
      </c>
      <c r="I428" s="50" t="e">
        <f>#REF!+#REF!</f>
        <v>#REF!</v>
      </c>
      <c r="J428" s="50">
        <f t="shared" si="150"/>
        <v>982800</v>
      </c>
      <c r="K428" s="50">
        <f t="shared" si="150"/>
        <v>1014700</v>
      </c>
      <c r="L428" s="50">
        <f t="shared" si="150"/>
        <v>861142.15</v>
      </c>
      <c r="M428" s="50">
        <f t="shared" si="150"/>
        <v>857040.46</v>
      </c>
      <c r="N428" s="50" t="e">
        <f>#REF!+#REF!</f>
        <v>#REF!</v>
      </c>
      <c r="O428" s="50">
        <f t="shared" si="151"/>
        <v>14200</v>
      </c>
      <c r="P428" s="50">
        <f t="shared" si="151"/>
        <v>30100</v>
      </c>
      <c r="Q428" s="50">
        <f t="shared" si="151"/>
        <v>12600</v>
      </c>
      <c r="R428" s="50">
        <f t="shared" si="151"/>
        <v>0</v>
      </c>
      <c r="T428" s="50" t="e">
        <f t="shared" si="152"/>
        <v>#REF!</v>
      </c>
    </row>
    <row r="429" spans="2:20" hidden="1" x14ac:dyDescent="0.25">
      <c r="B429" s="97">
        <f t="shared" si="153"/>
        <v>5</v>
      </c>
      <c r="C429" s="51"/>
      <c r="D429" s="51"/>
      <c r="E429" s="51" t="s">
        <v>60</v>
      </c>
      <c r="F429" s="51"/>
      <c r="G429" s="124"/>
      <c r="H429" s="51"/>
      <c r="I429" s="52" t="e">
        <f>#REF!+#REF!</f>
        <v>#REF!</v>
      </c>
      <c r="J429" s="52">
        <f>J444+J442+J440+J432+J431+J430</f>
        <v>982800</v>
      </c>
      <c r="K429" s="52">
        <f>K444+K442+K440+K432+K431+K430</f>
        <v>1014700</v>
      </c>
      <c r="L429" s="52">
        <f>L444+L442+L440+L432+L431+L430</f>
        <v>861142.15</v>
      </c>
      <c r="M429" s="52">
        <f>M444+M442+M440+M432+M431+M430</f>
        <v>857040.46</v>
      </c>
      <c r="N429" s="52" t="e">
        <f>#REF!+#REF!</f>
        <v>#REF!</v>
      </c>
      <c r="O429" s="52">
        <f>O444+O442+O440+O432+O431+O430</f>
        <v>14200</v>
      </c>
      <c r="P429" s="52">
        <f>P444+P442+P440+P432+P431+P430</f>
        <v>30100</v>
      </c>
      <c r="Q429" s="52">
        <f>Q444+Q442+Q440+Q432+Q431+Q430</f>
        <v>12600</v>
      </c>
      <c r="R429" s="52">
        <f>R444+R442+R440+R432+R431+R430</f>
        <v>0</v>
      </c>
      <c r="T429" s="52" t="e">
        <f t="shared" si="152"/>
        <v>#REF!</v>
      </c>
    </row>
    <row r="430" spans="2:20" x14ac:dyDescent="0.25">
      <c r="B430" s="97">
        <f t="shared" si="153"/>
        <v>6</v>
      </c>
      <c r="C430" s="29"/>
      <c r="D430" s="29"/>
      <c r="E430" s="29"/>
      <c r="F430" s="53" t="s">
        <v>392</v>
      </c>
      <c r="G430" s="125">
        <v>610</v>
      </c>
      <c r="H430" s="29" t="s">
        <v>338</v>
      </c>
      <c r="I430" s="15">
        <v>640000</v>
      </c>
      <c r="J430" s="15">
        <v>611250</v>
      </c>
      <c r="K430" s="15">
        <v>615650</v>
      </c>
      <c r="L430" s="15">
        <v>534409.48</v>
      </c>
      <c r="M430" s="15">
        <v>547471.21</v>
      </c>
      <c r="N430" s="15"/>
      <c r="O430" s="15"/>
      <c r="P430" s="15"/>
      <c r="Q430" s="15"/>
      <c r="R430" s="15"/>
      <c r="T430" s="15">
        <f t="shared" si="152"/>
        <v>640000</v>
      </c>
    </row>
    <row r="431" spans="2:20" x14ac:dyDescent="0.25">
      <c r="B431" s="97">
        <f t="shared" si="153"/>
        <v>7</v>
      </c>
      <c r="C431" s="29"/>
      <c r="D431" s="29"/>
      <c r="E431" s="29"/>
      <c r="F431" s="53" t="s">
        <v>392</v>
      </c>
      <c r="G431" s="125">
        <v>620</v>
      </c>
      <c r="H431" s="29" t="s">
        <v>313</v>
      </c>
      <c r="I431" s="15">
        <v>230000</v>
      </c>
      <c r="J431" s="15">
        <v>225750</v>
      </c>
      <c r="K431" s="15">
        <f>231450-1500</f>
        <v>229950</v>
      </c>
      <c r="L431" s="15">
        <v>193681.85</v>
      </c>
      <c r="M431" s="15">
        <v>196167.04000000001</v>
      </c>
      <c r="N431" s="15"/>
      <c r="O431" s="15"/>
      <c r="P431" s="15"/>
      <c r="Q431" s="15"/>
      <c r="R431" s="15"/>
      <c r="T431" s="15">
        <f t="shared" si="152"/>
        <v>230000</v>
      </c>
    </row>
    <row r="432" spans="2:20" x14ac:dyDescent="0.25">
      <c r="B432" s="97">
        <f t="shared" si="153"/>
        <v>8</v>
      </c>
      <c r="C432" s="29"/>
      <c r="D432" s="29"/>
      <c r="E432" s="29"/>
      <c r="F432" s="53" t="s">
        <v>392</v>
      </c>
      <c r="G432" s="125">
        <v>630</v>
      </c>
      <c r="H432" s="29" t="s">
        <v>303</v>
      </c>
      <c r="I432" s="15">
        <f>SUM(I433:I439)</f>
        <v>177630</v>
      </c>
      <c r="J432" s="15">
        <f t="shared" ref="J432:M432" si="154">J439+J438+J437+J436+J435+J434+J433</f>
        <v>145130</v>
      </c>
      <c r="K432" s="15">
        <f t="shared" si="154"/>
        <v>161430</v>
      </c>
      <c r="L432" s="15">
        <f t="shared" si="154"/>
        <v>112002.82</v>
      </c>
      <c r="M432" s="15">
        <f t="shared" si="154"/>
        <v>112037.20999999999</v>
      </c>
      <c r="N432" s="15"/>
      <c r="O432" s="15"/>
      <c r="P432" s="15"/>
      <c r="Q432" s="15"/>
      <c r="R432" s="15"/>
      <c r="T432" s="15">
        <f t="shared" si="152"/>
        <v>177630</v>
      </c>
    </row>
    <row r="433" spans="2:20" x14ac:dyDescent="0.25">
      <c r="B433" s="97">
        <f t="shared" si="153"/>
        <v>9</v>
      </c>
      <c r="C433" s="9"/>
      <c r="D433" s="9"/>
      <c r="E433" s="9"/>
      <c r="F433" s="54" t="s">
        <v>392</v>
      </c>
      <c r="G433" s="126">
        <v>631</v>
      </c>
      <c r="H433" s="9" t="s">
        <v>304</v>
      </c>
      <c r="I433" s="10">
        <v>3670</v>
      </c>
      <c r="J433" s="10">
        <v>2370</v>
      </c>
      <c r="K433" s="10">
        <v>13170</v>
      </c>
      <c r="L433" s="10">
        <v>6294.1</v>
      </c>
      <c r="M433" s="10">
        <v>553.72</v>
      </c>
      <c r="N433" s="10"/>
      <c r="O433" s="10"/>
      <c r="P433" s="10"/>
      <c r="Q433" s="10"/>
      <c r="R433" s="10"/>
      <c r="T433" s="10">
        <f t="shared" si="152"/>
        <v>3670</v>
      </c>
    </row>
    <row r="434" spans="2:20" x14ac:dyDescent="0.25">
      <c r="B434" s="97">
        <f t="shared" si="153"/>
        <v>10</v>
      </c>
      <c r="C434" s="9"/>
      <c r="D434" s="9"/>
      <c r="E434" s="9"/>
      <c r="F434" s="54" t="s">
        <v>392</v>
      </c>
      <c r="G434" s="126">
        <v>632</v>
      </c>
      <c r="H434" s="9" t="s">
        <v>314</v>
      </c>
      <c r="I434" s="10">
        <v>25500</v>
      </c>
      <c r="J434" s="10">
        <v>25000</v>
      </c>
      <c r="K434" s="10">
        <v>25000</v>
      </c>
      <c r="L434" s="10">
        <v>16737.939999999999</v>
      </c>
      <c r="M434" s="10">
        <v>16574.099999999999</v>
      </c>
      <c r="N434" s="10"/>
      <c r="O434" s="10"/>
      <c r="P434" s="10"/>
      <c r="Q434" s="10"/>
      <c r="R434" s="10"/>
      <c r="T434" s="10">
        <f t="shared" si="152"/>
        <v>25500</v>
      </c>
    </row>
    <row r="435" spans="2:20" x14ac:dyDescent="0.25">
      <c r="B435" s="97">
        <f t="shared" si="153"/>
        <v>11</v>
      </c>
      <c r="C435" s="9"/>
      <c r="D435" s="9"/>
      <c r="E435" s="9"/>
      <c r="F435" s="54" t="s">
        <v>392</v>
      </c>
      <c r="G435" s="126">
        <v>633</v>
      </c>
      <c r="H435" s="9" t="s">
        <v>305</v>
      </c>
      <c r="I435" s="10">
        <v>65950</v>
      </c>
      <c r="J435" s="10">
        <v>38300</v>
      </c>
      <c r="K435" s="10">
        <f>53200-8800</f>
        <v>44400</v>
      </c>
      <c r="L435" s="10">
        <v>28943.5</v>
      </c>
      <c r="M435" s="10">
        <v>24281.97</v>
      </c>
      <c r="N435" s="10"/>
      <c r="O435" s="10"/>
      <c r="P435" s="10"/>
      <c r="Q435" s="10"/>
      <c r="R435" s="10"/>
      <c r="T435" s="10">
        <f t="shared" si="152"/>
        <v>65950</v>
      </c>
    </row>
    <row r="436" spans="2:20" x14ac:dyDescent="0.25">
      <c r="B436" s="97">
        <f t="shared" si="153"/>
        <v>12</v>
      </c>
      <c r="C436" s="9"/>
      <c r="D436" s="9"/>
      <c r="E436" s="9"/>
      <c r="F436" s="54" t="s">
        <v>392</v>
      </c>
      <c r="G436" s="126">
        <v>634</v>
      </c>
      <c r="H436" s="9" t="s">
        <v>306</v>
      </c>
      <c r="I436" s="10">
        <v>29980</v>
      </c>
      <c r="J436" s="10">
        <v>31980</v>
      </c>
      <c r="K436" s="10">
        <f>31980-4000</f>
        <v>27980</v>
      </c>
      <c r="L436" s="10">
        <v>23501.360000000001</v>
      </c>
      <c r="M436" s="10">
        <v>26321.49</v>
      </c>
      <c r="N436" s="10"/>
      <c r="O436" s="10"/>
      <c r="P436" s="10"/>
      <c r="Q436" s="10"/>
      <c r="R436" s="10"/>
      <c r="T436" s="10">
        <f t="shared" si="152"/>
        <v>29980</v>
      </c>
    </row>
    <row r="437" spans="2:20" x14ac:dyDescent="0.25">
      <c r="B437" s="97">
        <f t="shared" si="153"/>
        <v>13</v>
      </c>
      <c r="C437" s="9"/>
      <c r="D437" s="9"/>
      <c r="E437" s="9"/>
      <c r="F437" s="54" t="s">
        <v>392</v>
      </c>
      <c r="G437" s="126">
        <v>635</v>
      </c>
      <c r="H437" s="9" t="s">
        <v>320</v>
      </c>
      <c r="I437" s="10">
        <v>6950</v>
      </c>
      <c r="J437" s="10">
        <v>1800</v>
      </c>
      <c r="K437" s="10">
        <f>1800+800</f>
        <v>2600</v>
      </c>
      <c r="L437" s="10">
        <v>1496.46</v>
      </c>
      <c r="M437" s="10">
        <v>1296.78</v>
      </c>
      <c r="N437" s="10"/>
      <c r="O437" s="10"/>
      <c r="P437" s="10"/>
      <c r="Q437" s="10"/>
      <c r="R437" s="10"/>
      <c r="T437" s="10">
        <f t="shared" si="152"/>
        <v>6950</v>
      </c>
    </row>
    <row r="438" spans="2:20" x14ac:dyDescent="0.25">
      <c r="B438" s="97">
        <f t="shared" si="153"/>
        <v>14</v>
      </c>
      <c r="C438" s="9"/>
      <c r="D438" s="9"/>
      <c r="E438" s="9"/>
      <c r="F438" s="54" t="s">
        <v>392</v>
      </c>
      <c r="G438" s="126">
        <v>636</v>
      </c>
      <c r="H438" s="9" t="s">
        <v>307</v>
      </c>
      <c r="I438" s="10">
        <v>800</v>
      </c>
      <c r="J438" s="10">
        <v>800</v>
      </c>
      <c r="K438" s="10">
        <f>800-800</f>
        <v>0</v>
      </c>
      <c r="L438" s="10">
        <v>0</v>
      </c>
      <c r="M438" s="10">
        <v>0</v>
      </c>
      <c r="N438" s="10"/>
      <c r="O438" s="10"/>
      <c r="P438" s="10"/>
      <c r="Q438" s="10"/>
      <c r="R438" s="10"/>
      <c r="T438" s="10">
        <f t="shared" si="152"/>
        <v>800</v>
      </c>
    </row>
    <row r="439" spans="2:20" x14ac:dyDescent="0.25">
      <c r="B439" s="97">
        <f t="shared" si="153"/>
        <v>15</v>
      </c>
      <c r="C439" s="9"/>
      <c r="D439" s="9"/>
      <c r="E439" s="9"/>
      <c r="F439" s="54" t="s">
        <v>392</v>
      </c>
      <c r="G439" s="126">
        <v>637</v>
      </c>
      <c r="H439" s="9" t="s">
        <v>308</v>
      </c>
      <c r="I439" s="10">
        <v>44780</v>
      </c>
      <c r="J439" s="10">
        <v>44880</v>
      </c>
      <c r="K439" s="10">
        <v>48280</v>
      </c>
      <c r="L439" s="10">
        <v>35029.46</v>
      </c>
      <c r="M439" s="10">
        <v>43009.15</v>
      </c>
      <c r="N439" s="10"/>
      <c r="O439" s="10"/>
      <c r="P439" s="10"/>
      <c r="Q439" s="10"/>
      <c r="R439" s="10"/>
      <c r="T439" s="10">
        <f t="shared" si="152"/>
        <v>44780</v>
      </c>
    </row>
    <row r="440" spans="2:20" x14ac:dyDescent="0.25">
      <c r="B440" s="97">
        <f t="shared" si="153"/>
        <v>16</v>
      </c>
      <c r="C440" s="29"/>
      <c r="D440" s="29"/>
      <c r="E440" s="29"/>
      <c r="F440" s="53" t="s">
        <v>363</v>
      </c>
      <c r="G440" s="125">
        <v>630</v>
      </c>
      <c r="H440" s="29" t="s">
        <v>303</v>
      </c>
      <c r="I440" s="15">
        <f>I441</f>
        <v>500</v>
      </c>
      <c r="J440" s="15">
        <f t="shared" ref="J440:M440" si="155">J441</f>
        <v>500</v>
      </c>
      <c r="K440" s="15">
        <f t="shared" si="155"/>
        <v>500</v>
      </c>
      <c r="L440" s="15">
        <f t="shared" si="155"/>
        <v>2400</v>
      </c>
      <c r="M440" s="15">
        <f t="shared" si="155"/>
        <v>484</v>
      </c>
      <c r="N440" s="15"/>
      <c r="O440" s="15"/>
      <c r="P440" s="15"/>
      <c r="Q440" s="15"/>
      <c r="R440" s="15"/>
      <c r="T440" s="15">
        <f t="shared" si="152"/>
        <v>500</v>
      </c>
    </row>
    <row r="441" spans="2:20" x14ac:dyDescent="0.25">
      <c r="B441" s="97">
        <f t="shared" si="153"/>
        <v>17</v>
      </c>
      <c r="C441" s="9"/>
      <c r="D441" s="9"/>
      <c r="E441" s="9"/>
      <c r="F441" s="54" t="s">
        <v>363</v>
      </c>
      <c r="G441" s="126">
        <v>637</v>
      </c>
      <c r="H441" s="9" t="s">
        <v>308</v>
      </c>
      <c r="I441" s="10">
        <v>500</v>
      </c>
      <c r="J441" s="10">
        <v>500</v>
      </c>
      <c r="K441" s="10">
        <v>500</v>
      </c>
      <c r="L441" s="10">
        <v>2400</v>
      </c>
      <c r="M441" s="10">
        <v>484</v>
      </c>
      <c r="N441" s="10"/>
      <c r="O441" s="10"/>
      <c r="P441" s="10"/>
      <c r="Q441" s="10"/>
      <c r="R441" s="10"/>
      <c r="T441" s="10">
        <f t="shared" si="152"/>
        <v>500</v>
      </c>
    </row>
    <row r="442" spans="2:20" x14ac:dyDescent="0.25">
      <c r="B442" s="97">
        <f t="shared" si="153"/>
        <v>18</v>
      </c>
      <c r="C442" s="29"/>
      <c r="D442" s="29"/>
      <c r="E442" s="29"/>
      <c r="F442" s="53" t="s">
        <v>392</v>
      </c>
      <c r="G442" s="125">
        <v>640</v>
      </c>
      <c r="H442" s="29" t="s">
        <v>315</v>
      </c>
      <c r="I442" s="15">
        <f>I443</f>
        <v>670</v>
      </c>
      <c r="J442" s="15">
        <f t="shared" ref="J442:M442" si="156">J443</f>
        <v>170</v>
      </c>
      <c r="K442" s="15">
        <f t="shared" si="156"/>
        <v>7170</v>
      </c>
      <c r="L442" s="15">
        <f t="shared" si="156"/>
        <v>18648</v>
      </c>
      <c r="M442" s="15">
        <f t="shared" si="156"/>
        <v>881</v>
      </c>
      <c r="N442" s="15"/>
      <c r="O442" s="15"/>
      <c r="P442" s="15"/>
      <c r="Q442" s="15"/>
      <c r="R442" s="15"/>
      <c r="T442" s="15">
        <f t="shared" si="152"/>
        <v>670</v>
      </c>
    </row>
    <row r="443" spans="2:20" x14ac:dyDescent="0.25">
      <c r="B443" s="97">
        <f t="shared" si="153"/>
        <v>19</v>
      </c>
      <c r="C443" s="9"/>
      <c r="D443" s="9"/>
      <c r="E443" s="9"/>
      <c r="F443" s="54" t="s">
        <v>392</v>
      </c>
      <c r="G443" s="126">
        <v>642</v>
      </c>
      <c r="H443" s="9" t="s">
        <v>316</v>
      </c>
      <c r="I443" s="10">
        <v>670</v>
      </c>
      <c r="J443" s="10">
        <v>170</v>
      </c>
      <c r="K443" s="10">
        <f>5670+1500</f>
        <v>7170</v>
      </c>
      <c r="L443" s="10">
        <v>18648</v>
      </c>
      <c r="M443" s="10">
        <v>881</v>
      </c>
      <c r="N443" s="10"/>
      <c r="O443" s="10"/>
      <c r="P443" s="10"/>
      <c r="Q443" s="10"/>
      <c r="R443" s="10"/>
      <c r="T443" s="10">
        <f t="shared" si="152"/>
        <v>670</v>
      </c>
    </row>
    <row r="444" spans="2:20" x14ac:dyDescent="0.25">
      <c r="B444" s="97">
        <f t="shared" si="153"/>
        <v>20</v>
      </c>
      <c r="C444" s="29"/>
      <c r="D444" s="29"/>
      <c r="E444" s="29"/>
      <c r="F444" s="53" t="s">
        <v>392</v>
      </c>
      <c r="G444" s="125">
        <v>710</v>
      </c>
      <c r="H444" s="29" t="s">
        <v>321</v>
      </c>
      <c r="I444" s="15"/>
      <c r="J444" s="15"/>
      <c r="K444" s="15"/>
      <c r="L444" s="15"/>
      <c r="M444" s="15"/>
      <c r="N444" s="15">
        <f>N445+N447</f>
        <v>15000</v>
      </c>
      <c r="O444" s="15">
        <f t="shared" ref="O444:Q444" si="157">O447+O445</f>
        <v>14200</v>
      </c>
      <c r="P444" s="15">
        <f t="shared" si="157"/>
        <v>30100</v>
      </c>
      <c r="Q444" s="15">
        <f t="shared" si="157"/>
        <v>12600</v>
      </c>
      <c r="R444" s="15"/>
      <c r="T444" s="15">
        <f t="shared" si="152"/>
        <v>15000</v>
      </c>
    </row>
    <row r="445" spans="2:20" x14ac:dyDescent="0.25">
      <c r="B445" s="97">
        <f t="shared" si="153"/>
        <v>21</v>
      </c>
      <c r="C445" s="9"/>
      <c r="D445" s="9"/>
      <c r="E445" s="9"/>
      <c r="F445" s="54" t="s">
        <v>392</v>
      </c>
      <c r="G445" s="126">
        <v>713</v>
      </c>
      <c r="H445" s="9" t="s">
        <v>360</v>
      </c>
      <c r="I445" s="10"/>
      <c r="J445" s="10"/>
      <c r="K445" s="10"/>
      <c r="L445" s="10"/>
      <c r="M445" s="10"/>
      <c r="N445" s="10">
        <f>N446</f>
        <v>2500</v>
      </c>
      <c r="O445" s="10">
        <f t="shared" ref="O445:P445" si="158">O446</f>
        <v>1700</v>
      </c>
      <c r="P445" s="10">
        <f t="shared" si="158"/>
        <v>4800</v>
      </c>
      <c r="Q445" s="10"/>
      <c r="R445" s="10"/>
      <c r="T445" s="10">
        <f t="shared" si="152"/>
        <v>2500</v>
      </c>
    </row>
    <row r="446" spans="2:20" x14ac:dyDescent="0.25">
      <c r="B446" s="97">
        <f t="shared" si="153"/>
        <v>22</v>
      </c>
      <c r="C446" s="12"/>
      <c r="D446" s="12"/>
      <c r="E446" s="12"/>
      <c r="F446" s="12"/>
      <c r="G446" s="127" t="s">
        <v>60</v>
      </c>
      <c r="H446" s="12" t="s">
        <v>693</v>
      </c>
      <c r="I446" s="13"/>
      <c r="J446" s="13"/>
      <c r="K446" s="13"/>
      <c r="L446" s="13"/>
      <c r="M446" s="13"/>
      <c r="N446" s="13">
        <v>2500</v>
      </c>
      <c r="O446" s="13">
        <v>1700</v>
      </c>
      <c r="P446" s="13">
        <v>4800</v>
      </c>
      <c r="Q446" s="13"/>
      <c r="R446" s="13"/>
      <c r="T446" s="13">
        <f t="shared" si="152"/>
        <v>2500</v>
      </c>
    </row>
    <row r="447" spans="2:20" x14ac:dyDescent="0.25">
      <c r="B447" s="97">
        <f t="shared" si="153"/>
        <v>23</v>
      </c>
      <c r="C447" s="9"/>
      <c r="D447" s="9"/>
      <c r="E447" s="9"/>
      <c r="F447" s="54" t="s">
        <v>392</v>
      </c>
      <c r="G447" s="126">
        <v>714</v>
      </c>
      <c r="H447" s="9" t="s">
        <v>368</v>
      </c>
      <c r="I447" s="10"/>
      <c r="J447" s="10"/>
      <c r="K447" s="10"/>
      <c r="L447" s="10"/>
      <c r="M447" s="10"/>
      <c r="N447" s="10">
        <f>N448</f>
        <v>12500</v>
      </c>
      <c r="O447" s="10">
        <f t="shared" ref="O447:Q447" si="159">O448</f>
        <v>12500</v>
      </c>
      <c r="P447" s="10">
        <f t="shared" si="159"/>
        <v>25300</v>
      </c>
      <c r="Q447" s="10">
        <f t="shared" si="159"/>
        <v>12600</v>
      </c>
      <c r="R447" s="10"/>
      <c r="T447" s="10">
        <f t="shared" si="152"/>
        <v>12500</v>
      </c>
    </row>
    <row r="448" spans="2:20" x14ac:dyDescent="0.25">
      <c r="B448" s="97">
        <f t="shared" si="153"/>
        <v>24</v>
      </c>
      <c r="C448" s="12"/>
      <c r="D448" s="12"/>
      <c r="E448" s="12"/>
      <c r="F448" s="12"/>
      <c r="G448" s="127" t="s">
        <v>60</v>
      </c>
      <c r="H448" s="12" t="s">
        <v>369</v>
      </c>
      <c r="I448" s="13"/>
      <c r="J448" s="13"/>
      <c r="K448" s="13"/>
      <c r="L448" s="13"/>
      <c r="M448" s="13"/>
      <c r="N448" s="13">
        <v>12500</v>
      </c>
      <c r="O448" s="13">
        <v>12500</v>
      </c>
      <c r="P448" s="13">
        <f>12500+12800</f>
        <v>25300</v>
      </c>
      <c r="Q448" s="13">
        <v>12600</v>
      </c>
      <c r="R448" s="13"/>
      <c r="T448" s="13">
        <f t="shared" si="152"/>
        <v>12500</v>
      </c>
    </row>
    <row r="449" spans="2:20" ht="15.75" x14ac:dyDescent="0.25">
      <c r="B449" s="97">
        <f t="shared" si="153"/>
        <v>25</v>
      </c>
      <c r="C449" s="45">
        <v>2</v>
      </c>
      <c r="D449" s="293" t="s">
        <v>92</v>
      </c>
      <c r="E449" s="294"/>
      <c r="F449" s="294"/>
      <c r="G449" s="294"/>
      <c r="H449" s="295"/>
      <c r="I449" s="46">
        <f>I453+I475</f>
        <v>570265</v>
      </c>
      <c r="J449" s="46">
        <f t="shared" ref="J449:R449" si="160">J450</f>
        <v>499700</v>
      </c>
      <c r="K449" s="46">
        <f t="shared" si="160"/>
        <v>497200</v>
      </c>
      <c r="L449" s="46">
        <f t="shared" si="160"/>
        <v>673915.8</v>
      </c>
      <c r="M449" s="46">
        <f t="shared" si="160"/>
        <v>586860.86</v>
      </c>
      <c r="N449" s="46">
        <f>N475</f>
        <v>1700</v>
      </c>
      <c r="O449" s="46">
        <f t="shared" si="160"/>
        <v>45500</v>
      </c>
      <c r="P449" s="46">
        <f t="shared" si="160"/>
        <v>99650</v>
      </c>
      <c r="Q449" s="46">
        <f t="shared" si="160"/>
        <v>307758</v>
      </c>
      <c r="R449" s="46">
        <f t="shared" si="160"/>
        <v>1192102.72</v>
      </c>
      <c r="T449" s="46">
        <f t="shared" si="152"/>
        <v>571965</v>
      </c>
    </row>
    <row r="450" spans="2:20" hidden="1" x14ac:dyDescent="0.25">
      <c r="B450" s="97">
        <f t="shared" si="153"/>
        <v>26</v>
      </c>
      <c r="C450" s="47"/>
      <c r="D450" s="47" t="s">
        <v>60</v>
      </c>
      <c r="E450" s="296"/>
      <c r="F450" s="294"/>
      <c r="G450" s="294"/>
      <c r="H450" s="295"/>
      <c r="I450" s="48" t="e">
        <f>#REF!+#REF!</f>
        <v>#REF!</v>
      </c>
      <c r="J450" s="48">
        <f>J475+J451</f>
        <v>499700</v>
      </c>
      <c r="K450" s="48">
        <f>K475+K451</f>
        <v>497200</v>
      </c>
      <c r="L450" s="48">
        <f>L475+L451</f>
        <v>673915.8</v>
      </c>
      <c r="M450" s="48">
        <f>M475+M451</f>
        <v>586860.86</v>
      </c>
      <c r="N450" s="48" t="e">
        <f>#REF!+#REF!</f>
        <v>#REF!</v>
      </c>
      <c r="O450" s="48">
        <f>O475+O451</f>
        <v>45500</v>
      </c>
      <c r="P450" s="48">
        <f>P475+P451</f>
        <v>99650</v>
      </c>
      <c r="Q450" s="48">
        <f>Q475+Q451</f>
        <v>307758</v>
      </c>
      <c r="R450" s="48">
        <f>R475+R451</f>
        <v>1192102.72</v>
      </c>
      <c r="T450" s="48" t="e">
        <f t="shared" si="152"/>
        <v>#REF!</v>
      </c>
    </row>
    <row r="451" spans="2:20" hidden="1" x14ac:dyDescent="0.25">
      <c r="B451" s="97">
        <f t="shared" si="153"/>
        <v>27</v>
      </c>
      <c r="C451" s="49"/>
      <c r="D451" s="49"/>
      <c r="E451" s="49"/>
      <c r="F451" s="49"/>
      <c r="G451" s="123"/>
      <c r="H451" s="49" t="s">
        <v>12</v>
      </c>
      <c r="I451" s="50" t="e">
        <f>#REF!+#REF!</f>
        <v>#REF!</v>
      </c>
      <c r="J451" s="50">
        <f t="shared" ref="J451:R451" si="161">J452</f>
        <v>400000</v>
      </c>
      <c r="K451" s="50">
        <f t="shared" si="161"/>
        <v>400000</v>
      </c>
      <c r="L451" s="50">
        <f t="shared" si="161"/>
        <v>625844.80000000005</v>
      </c>
      <c r="M451" s="50">
        <f t="shared" si="161"/>
        <v>572691.86</v>
      </c>
      <c r="N451" s="50" t="e">
        <f>#REF!+#REF!</f>
        <v>#REF!</v>
      </c>
      <c r="O451" s="50">
        <f t="shared" si="161"/>
        <v>39500</v>
      </c>
      <c r="P451" s="50">
        <f t="shared" si="161"/>
        <v>93650</v>
      </c>
      <c r="Q451" s="50">
        <f t="shared" si="161"/>
        <v>307758</v>
      </c>
      <c r="R451" s="50">
        <f t="shared" si="161"/>
        <v>1192102.72</v>
      </c>
      <c r="T451" s="50" t="e">
        <f t="shared" si="152"/>
        <v>#REF!</v>
      </c>
    </row>
    <row r="452" spans="2:20" hidden="1" x14ac:dyDescent="0.25">
      <c r="B452" s="97">
        <f t="shared" si="153"/>
        <v>28</v>
      </c>
      <c r="C452" s="51"/>
      <c r="D452" s="51"/>
      <c r="E452" s="51" t="s">
        <v>60</v>
      </c>
      <c r="F452" s="51"/>
      <c r="G452" s="124"/>
      <c r="H452" s="51"/>
      <c r="I452" s="52" t="e">
        <f>#REF!+#REF!</f>
        <v>#REF!</v>
      </c>
      <c r="J452" s="52">
        <f t="shared" ref="J452:R452" si="162">J458+J453</f>
        <v>400000</v>
      </c>
      <c r="K452" s="52">
        <f t="shared" si="162"/>
        <v>400000</v>
      </c>
      <c r="L452" s="52">
        <f t="shared" si="162"/>
        <v>625844.80000000005</v>
      </c>
      <c r="M452" s="52">
        <f t="shared" si="162"/>
        <v>572691.86</v>
      </c>
      <c r="N452" s="52" t="e">
        <f>#REF!+#REF!</f>
        <v>#REF!</v>
      </c>
      <c r="O452" s="52">
        <f t="shared" si="162"/>
        <v>39500</v>
      </c>
      <c r="P452" s="52">
        <f t="shared" si="162"/>
        <v>93650</v>
      </c>
      <c r="Q452" s="52">
        <f t="shared" si="162"/>
        <v>307758</v>
      </c>
      <c r="R452" s="52">
        <f t="shared" si="162"/>
        <v>1192102.72</v>
      </c>
      <c r="T452" s="52" t="e">
        <f t="shared" si="152"/>
        <v>#REF!</v>
      </c>
    </row>
    <row r="453" spans="2:20" x14ac:dyDescent="0.25">
      <c r="B453" s="97">
        <f t="shared" si="153"/>
        <v>29</v>
      </c>
      <c r="C453" s="29"/>
      <c r="D453" s="29"/>
      <c r="E453" s="29"/>
      <c r="F453" s="53" t="s">
        <v>379</v>
      </c>
      <c r="G453" s="125">
        <v>630</v>
      </c>
      <c r="H453" s="29" t="s">
        <v>303</v>
      </c>
      <c r="I453" s="15">
        <f>I454</f>
        <v>40000</v>
      </c>
      <c r="J453" s="15">
        <f t="shared" ref="J453:M453" si="163">J457+J456+J455+J454</f>
        <v>400000</v>
      </c>
      <c r="K453" s="15">
        <f t="shared" si="163"/>
        <v>400000</v>
      </c>
      <c r="L453" s="15">
        <f t="shared" si="163"/>
        <v>625844.80000000005</v>
      </c>
      <c r="M453" s="15">
        <f t="shared" si="163"/>
        <v>572691.86</v>
      </c>
      <c r="N453" s="15"/>
      <c r="O453" s="15"/>
      <c r="P453" s="15"/>
      <c r="Q453" s="15"/>
      <c r="R453" s="15"/>
      <c r="T453" s="15">
        <f t="shared" si="152"/>
        <v>40000</v>
      </c>
    </row>
    <row r="454" spans="2:20" x14ac:dyDescent="0.25">
      <c r="B454" s="97">
        <f t="shared" si="153"/>
        <v>30</v>
      </c>
      <c r="C454" s="9"/>
      <c r="D454" s="9"/>
      <c r="E454" s="9"/>
      <c r="F454" s="54" t="s">
        <v>379</v>
      </c>
      <c r="G454" s="126">
        <v>632</v>
      </c>
      <c r="H454" s="9" t="s">
        <v>314</v>
      </c>
      <c r="I454" s="10">
        <v>40000</v>
      </c>
      <c r="J454" s="10">
        <v>400000</v>
      </c>
      <c r="K454" s="10">
        <v>400000</v>
      </c>
      <c r="L454" s="10">
        <v>451354</v>
      </c>
      <c r="M454" s="10">
        <v>318331.19</v>
      </c>
      <c r="N454" s="10"/>
      <c r="O454" s="10"/>
      <c r="P454" s="10"/>
      <c r="Q454" s="10"/>
      <c r="R454" s="10"/>
      <c r="T454" s="10">
        <f t="shared" si="152"/>
        <v>40000</v>
      </c>
    </row>
    <row r="455" spans="2:20" x14ac:dyDescent="0.25">
      <c r="B455" s="97">
        <f t="shared" si="153"/>
        <v>31</v>
      </c>
      <c r="C455" s="9"/>
      <c r="D455" s="9"/>
      <c r="E455" s="9"/>
      <c r="F455" s="54" t="s">
        <v>379</v>
      </c>
      <c r="G455" s="126">
        <v>635</v>
      </c>
      <c r="H455" s="9" t="s">
        <v>320</v>
      </c>
      <c r="I455" s="10">
        <v>0</v>
      </c>
      <c r="J455" s="10">
        <v>0</v>
      </c>
      <c r="K455" s="10"/>
      <c r="L455" s="10">
        <v>167203.79999999999</v>
      </c>
      <c r="M455" s="10">
        <v>253925.18</v>
      </c>
      <c r="N455" s="10"/>
      <c r="O455" s="10"/>
      <c r="P455" s="10"/>
      <c r="Q455" s="10"/>
      <c r="R455" s="10"/>
      <c r="T455" s="10">
        <f t="shared" si="152"/>
        <v>0</v>
      </c>
    </row>
    <row r="456" spans="2:20" x14ac:dyDescent="0.25">
      <c r="B456" s="97">
        <f t="shared" si="153"/>
        <v>32</v>
      </c>
      <c r="C456" s="9"/>
      <c r="D456" s="9"/>
      <c r="E456" s="9"/>
      <c r="F456" s="54" t="s">
        <v>379</v>
      </c>
      <c r="G456" s="126">
        <v>636</v>
      </c>
      <c r="H456" s="9" t="s">
        <v>307</v>
      </c>
      <c r="I456" s="10">
        <v>0</v>
      </c>
      <c r="J456" s="10">
        <v>0</v>
      </c>
      <c r="K456" s="10"/>
      <c r="L456" s="10"/>
      <c r="M456" s="10">
        <v>400</v>
      </c>
      <c r="N456" s="10"/>
      <c r="O456" s="10"/>
      <c r="P456" s="10"/>
      <c r="Q456" s="10"/>
      <c r="R456" s="10"/>
      <c r="T456" s="10">
        <f t="shared" si="152"/>
        <v>0</v>
      </c>
    </row>
    <row r="457" spans="2:20" x14ac:dyDescent="0.25">
      <c r="B457" s="97">
        <f t="shared" si="153"/>
        <v>33</v>
      </c>
      <c r="C457" s="9"/>
      <c r="D457" s="9"/>
      <c r="E457" s="9"/>
      <c r="F457" s="54" t="s">
        <v>379</v>
      </c>
      <c r="G457" s="126">
        <v>637</v>
      </c>
      <c r="H457" s="9" t="s">
        <v>308</v>
      </c>
      <c r="I457" s="10">
        <v>0</v>
      </c>
      <c r="J457" s="10">
        <v>0</v>
      </c>
      <c r="K457" s="10"/>
      <c r="L457" s="10">
        <v>7287</v>
      </c>
      <c r="M457" s="10">
        <v>35.49</v>
      </c>
      <c r="N457" s="10"/>
      <c r="O457" s="10"/>
      <c r="P457" s="10"/>
      <c r="Q457" s="10"/>
      <c r="R457" s="10"/>
      <c r="T457" s="10">
        <f t="shared" si="152"/>
        <v>0</v>
      </c>
    </row>
    <row r="458" spans="2:20" x14ac:dyDescent="0.25">
      <c r="B458" s="97">
        <f t="shared" si="153"/>
        <v>34</v>
      </c>
      <c r="C458" s="29"/>
      <c r="D458" s="29"/>
      <c r="E458" s="29"/>
      <c r="F458" s="53" t="s">
        <v>379</v>
      </c>
      <c r="G458" s="125">
        <v>710</v>
      </c>
      <c r="H458" s="29" t="s">
        <v>321</v>
      </c>
      <c r="I458" s="15"/>
      <c r="J458" s="15"/>
      <c r="K458" s="15"/>
      <c r="L458" s="15"/>
      <c r="M458" s="15"/>
      <c r="N458" s="15"/>
      <c r="O458" s="15">
        <f>O459+O460+O462</f>
        <v>39500</v>
      </c>
      <c r="P458" s="15">
        <f t="shared" ref="P458:R458" si="164">P459+P460+P462</f>
        <v>93650</v>
      </c>
      <c r="Q458" s="15">
        <f t="shared" si="164"/>
        <v>307758</v>
      </c>
      <c r="R458" s="15">
        <f t="shared" si="164"/>
        <v>1192102.72</v>
      </c>
      <c r="T458" s="15">
        <f t="shared" si="152"/>
        <v>0</v>
      </c>
    </row>
    <row r="459" spans="2:20" x14ac:dyDescent="0.25">
      <c r="B459" s="97">
        <f t="shared" si="153"/>
        <v>35</v>
      </c>
      <c r="C459" s="9"/>
      <c r="D459" s="9"/>
      <c r="E459" s="9"/>
      <c r="F459" s="54" t="s">
        <v>379</v>
      </c>
      <c r="G459" s="126">
        <v>714</v>
      </c>
      <c r="H459" s="9" t="s">
        <v>368</v>
      </c>
      <c r="I459" s="10"/>
      <c r="J459" s="10"/>
      <c r="K459" s="10"/>
      <c r="L459" s="10"/>
      <c r="M459" s="10"/>
      <c r="N459" s="10"/>
      <c r="O459" s="10"/>
      <c r="P459" s="10"/>
      <c r="Q459" s="10">
        <v>71520</v>
      </c>
      <c r="R459" s="10"/>
      <c r="T459" s="10">
        <f t="shared" si="152"/>
        <v>0</v>
      </c>
    </row>
    <row r="460" spans="2:20" x14ac:dyDescent="0.25">
      <c r="B460" s="97">
        <f t="shared" si="153"/>
        <v>36</v>
      </c>
      <c r="C460" s="9"/>
      <c r="D460" s="9"/>
      <c r="E460" s="9"/>
      <c r="F460" s="54" t="s">
        <v>379</v>
      </c>
      <c r="G460" s="126">
        <v>716</v>
      </c>
      <c r="H460" s="9" t="s">
        <v>323</v>
      </c>
      <c r="I460" s="10"/>
      <c r="J460" s="10"/>
      <c r="K460" s="10"/>
      <c r="L460" s="10"/>
      <c r="M460" s="10"/>
      <c r="N460" s="10"/>
      <c r="O460" s="10"/>
      <c r="P460" s="10">
        <f t="shared" ref="P460" si="165">P461</f>
        <v>2000</v>
      </c>
      <c r="Q460" s="10"/>
      <c r="R460" s="10"/>
      <c r="T460" s="10">
        <f t="shared" si="152"/>
        <v>0</v>
      </c>
    </row>
    <row r="461" spans="2:20" x14ac:dyDescent="0.25">
      <c r="B461" s="97">
        <f t="shared" si="153"/>
        <v>37</v>
      </c>
      <c r="C461" s="12"/>
      <c r="D461" s="12"/>
      <c r="E461" s="12"/>
      <c r="F461" s="12"/>
      <c r="G461" s="127"/>
      <c r="H461" s="12" t="s">
        <v>394</v>
      </c>
      <c r="I461" s="13"/>
      <c r="J461" s="13"/>
      <c r="K461" s="13"/>
      <c r="L461" s="13"/>
      <c r="M461" s="13"/>
      <c r="N461" s="13"/>
      <c r="O461" s="13"/>
      <c r="P461" s="13">
        <v>2000</v>
      </c>
      <c r="Q461" s="13"/>
      <c r="R461" s="13"/>
      <c r="T461" s="13">
        <f t="shared" si="152"/>
        <v>0</v>
      </c>
    </row>
    <row r="462" spans="2:20" x14ac:dyDescent="0.25">
      <c r="B462" s="97">
        <f t="shared" si="153"/>
        <v>38</v>
      </c>
      <c r="C462" s="9"/>
      <c r="D462" s="9"/>
      <c r="E462" s="9"/>
      <c r="F462" s="54" t="s">
        <v>379</v>
      </c>
      <c r="G462" s="126">
        <v>717</v>
      </c>
      <c r="H462" s="9" t="s">
        <v>327</v>
      </c>
      <c r="I462" s="10"/>
      <c r="J462" s="10"/>
      <c r="K462" s="10"/>
      <c r="L462" s="10"/>
      <c r="M462" s="10"/>
      <c r="N462" s="10"/>
      <c r="O462" s="10">
        <f>SUM(O463:O474)</f>
        <v>39500</v>
      </c>
      <c r="P462" s="10">
        <f t="shared" ref="P462:R462" si="166">SUM(P463:P474)</f>
        <v>91650</v>
      </c>
      <c r="Q462" s="10">
        <f t="shared" si="166"/>
        <v>236238</v>
      </c>
      <c r="R462" s="10">
        <f t="shared" si="166"/>
        <v>1192102.72</v>
      </c>
      <c r="T462" s="10">
        <f t="shared" si="152"/>
        <v>0</v>
      </c>
    </row>
    <row r="463" spans="2:20" x14ac:dyDescent="0.25">
      <c r="B463" s="97">
        <f t="shared" si="153"/>
        <v>39</v>
      </c>
      <c r="C463" s="12"/>
      <c r="D463" s="12"/>
      <c r="E463" s="12"/>
      <c r="F463" s="12"/>
      <c r="G463" s="127"/>
      <c r="H463" s="12" t="s">
        <v>395</v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>
        <v>1162798.92</v>
      </c>
      <c r="T463" s="13">
        <f t="shared" si="152"/>
        <v>0</v>
      </c>
    </row>
    <row r="464" spans="2:20" x14ac:dyDescent="0.25">
      <c r="B464" s="97">
        <f t="shared" si="153"/>
        <v>40</v>
      </c>
      <c r="C464" s="12"/>
      <c r="D464" s="12"/>
      <c r="E464" s="12"/>
      <c r="F464" s="12"/>
      <c r="G464" s="127"/>
      <c r="H464" s="12" t="s">
        <v>396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>
        <v>11983.8</v>
      </c>
      <c r="T464" s="13">
        <f t="shared" si="152"/>
        <v>0</v>
      </c>
    </row>
    <row r="465" spans="2:20" x14ac:dyDescent="0.25">
      <c r="B465" s="97">
        <f t="shared" si="153"/>
        <v>41</v>
      </c>
      <c r="C465" s="12"/>
      <c r="D465" s="12"/>
      <c r="E465" s="12"/>
      <c r="F465" s="12"/>
      <c r="G465" s="127"/>
      <c r="H465" s="12" t="s">
        <v>393</v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>
        <v>3627</v>
      </c>
      <c r="T465" s="13">
        <f t="shared" si="152"/>
        <v>0</v>
      </c>
    </row>
    <row r="466" spans="2:20" x14ac:dyDescent="0.25">
      <c r="B466" s="97">
        <f t="shared" si="153"/>
        <v>42</v>
      </c>
      <c r="C466" s="12"/>
      <c r="D466" s="12"/>
      <c r="E466" s="12"/>
      <c r="F466" s="12"/>
      <c r="G466" s="127"/>
      <c r="H466" s="12" t="s">
        <v>397</v>
      </c>
      <c r="I466" s="13"/>
      <c r="J466" s="13"/>
      <c r="K466" s="13"/>
      <c r="L466" s="13"/>
      <c r="M466" s="13"/>
      <c r="N466" s="13"/>
      <c r="O466" s="13"/>
      <c r="P466" s="13"/>
      <c r="Q466" s="13"/>
      <c r="R466" s="13">
        <v>2778</v>
      </c>
      <c r="T466" s="13">
        <f t="shared" si="152"/>
        <v>0</v>
      </c>
    </row>
    <row r="467" spans="2:20" x14ac:dyDescent="0.25">
      <c r="B467" s="97">
        <f t="shared" si="153"/>
        <v>43</v>
      </c>
      <c r="C467" s="12"/>
      <c r="D467" s="12"/>
      <c r="E467" s="12"/>
      <c r="F467" s="12"/>
      <c r="G467" s="127"/>
      <c r="H467" s="12" t="s">
        <v>398</v>
      </c>
      <c r="I467" s="13"/>
      <c r="J467" s="13"/>
      <c r="K467" s="13"/>
      <c r="L467" s="13"/>
      <c r="M467" s="13"/>
      <c r="N467" s="13"/>
      <c r="O467" s="13"/>
      <c r="P467" s="13"/>
      <c r="Q467" s="13">
        <v>236238</v>
      </c>
      <c r="R467" s="13"/>
      <c r="T467" s="13">
        <f t="shared" si="152"/>
        <v>0</v>
      </c>
    </row>
    <row r="468" spans="2:20" x14ac:dyDescent="0.25">
      <c r="B468" s="97">
        <f t="shared" si="153"/>
        <v>44</v>
      </c>
      <c r="C468" s="12"/>
      <c r="D468" s="12"/>
      <c r="E468" s="12"/>
      <c r="F468" s="12"/>
      <c r="G468" s="127"/>
      <c r="H468" s="12" t="s">
        <v>399</v>
      </c>
      <c r="I468" s="13"/>
      <c r="J468" s="13"/>
      <c r="K468" s="13"/>
      <c r="L468" s="13"/>
      <c r="M468" s="13"/>
      <c r="N468" s="13"/>
      <c r="O468" s="13"/>
      <c r="P468" s="13"/>
      <c r="Q468" s="13"/>
      <c r="R468" s="13">
        <v>10915</v>
      </c>
      <c r="T468" s="13">
        <f t="shared" si="152"/>
        <v>0</v>
      </c>
    </row>
    <row r="469" spans="2:20" x14ac:dyDescent="0.25">
      <c r="B469" s="97">
        <f t="shared" si="153"/>
        <v>45</v>
      </c>
      <c r="C469" s="12"/>
      <c r="D469" s="12"/>
      <c r="E469" s="12"/>
      <c r="F469" s="12"/>
      <c r="G469" s="127"/>
      <c r="H469" s="12" t="s">
        <v>400</v>
      </c>
      <c r="I469" s="13"/>
      <c r="J469" s="13"/>
      <c r="K469" s="13"/>
      <c r="L469" s="13"/>
      <c r="M469" s="13"/>
      <c r="N469" s="13"/>
      <c r="O469" s="13">
        <v>19500</v>
      </c>
      <c r="P469" s="13">
        <v>2200</v>
      </c>
      <c r="Q469" s="13"/>
      <c r="R469" s="13"/>
      <c r="T469" s="13">
        <f t="shared" si="152"/>
        <v>0</v>
      </c>
    </row>
    <row r="470" spans="2:20" x14ac:dyDescent="0.25">
      <c r="B470" s="97">
        <f t="shared" si="153"/>
        <v>46</v>
      </c>
      <c r="C470" s="12"/>
      <c r="D470" s="12"/>
      <c r="E470" s="12"/>
      <c r="F470" s="12"/>
      <c r="G470" s="127"/>
      <c r="H470" s="12" t="s">
        <v>401</v>
      </c>
      <c r="I470" s="13"/>
      <c r="J470" s="13"/>
      <c r="K470" s="13"/>
      <c r="L470" s="13"/>
      <c r="M470" s="13"/>
      <c r="N470" s="13"/>
      <c r="O470" s="13">
        <v>20000</v>
      </c>
      <c r="P470" s="13">
        <v>3250</v>
      </c>
      <c r="Q470" s="13"/>
      <c r="R470" s="13"/>
      <c r="T470" s="13">
        <f t="shared" si="152"/>
        <v>0</v>
      </c>
    </row>
    <row r="471" spans="2:20" x14ac:dyDescent="0.25">
      <c r="B471" s="97">
        <f t="shared" si="153"/>
        <v>47</v>
      </c>
      <c r="C471" s="12"/>
      <c r="D471" s="12"/>
      <c r="E471" s="12"/>
      <c r="F471" s="12"/>
      <c r="G471" s="127"/>
      <c r="H471" s="12" t="s">
        <v>402</v>
      </c>
      <c r="I471" s="13"/>
      <c r="J471" s="13"/>
      <c r="K471" s="13"/>
      <c r="L471" s="13"/>
      <c r="M471" s="13"/>
      <c r="N471" s="13"/>
      <c r="O471" s="13"/>
      <c r="P471" s="13">
        <v>8000</v>
      </c>
      <c r="Q471" s="13"/>
      <c r="R471" s="13"/>
      <c r="T471" s="13">
        <f t="shared" si="152"/>
        <v>0</v>
      </c>
    </row>
    <row r="472" spans="2:20" x14ac:dyDescent="0.25">
      <c r="B472" s="97">
        <f t="shared" si="153"/>
        <v>48</v>
      </c>
      <c r="C472" s="12"/>
      <c r="D472" s="12"/>
      <c r="E472" s="12"/>
      <c r="F472" s="12"/>
      <c r="G472" s="127"/>
      <c r="H472" s="12" t="s">
        <v>403</v>
      </c>
      <c r="I472" s="13"/>
      <c r="J472" s="13"/>
      <c r="K472" s="13"/>
      <c r="L472" s="13"/>
      <c r="M472" s="13"/>
      <c r="N472" s="13"/>
      <c r="O472" s="13"/>
      <c r="P472" s="13">
        <v>3200</v>
      </c>
      <c r="Q472" s="13"/>
      <c r="R472" s="13"/>
      <c r="T472" s="13">
        <f t="shared" si="152"/>
        <v>0</v>
      </c>
    </row>
    <row r="473" spans="2:20" x14ac:dyDescent="0.25">
      <c r="B473" s="97">
        <f t="shared" si="153"/>
        <v>49</v>
      </c>
      <c r="C473" s="12"/>
      <c r="D473" s="12"/>
      <c r="E473" s="12"/>
      <c r="F473" s="12"/>
      <c r="G473" s="127"/>
      <c r="H473" s="12" t="s">
        <v>404</v>
      </c>
      <c r="I473" s="13"/>
      <c r="J473" s="13"/>
      <c r="K473" s="13"/>
      <c r="L473" s="13"/>
      <c r="M473" s="13"/>
      <c r="N473" s="13"/>
      <c r="O473" s="13"/>
      <c r="P473" s="13">
        <v>7000</v>
      </c>
      <c r="Q473" s="13"/>
      <c r="R473" s="13"/>
      <c r="T473" s="13">
        <f t="shared" si="152"/>
        <v>0</v>
      </c>
    </row>
    <row r="474" spans="2:20" x14ac:dyDescent="0.25">
      <c r="B474" s="97">
        <f t="shared" si="153"/>
        <v>50</v>
      </c>
      <c r="C474" s="12"/>
      <c r="D474" s="12"/>
      <c r="E474" s="12"/>
      <c r="F474" s="12"/>
      <c r="G474" s="127"/>
      <c r="H474" s="12" t="s">
        <v>394</v>
      </c>
      <c r="I474" s="13"/>
      <c r="J474" s="13"/>
      <c r="K474" s="13"/>
      <c r="L474" s="13"/>
      <c r="M474" s="13"/>
      <c r="N474" s="13"/>
      <c r="O474" s="13"/>
      <c r="P474" s="13">
        <v>68000</v>
      </c>
      <c r="Q474" s="13"/>
      <c r="R474" s="13"/>
      <c r="T474" s="13">
        <f t="shared" si="152"/>
        <v>0</v>
      </c>
    </row>
    <row r="475" spans="2:20" ht="18" customHeight="1" x14ac:dyDescent="0.25">
      <c r="B475" s="97">
        <f t="shared" si="153"/>
        <v>51</v>
      </c>
      <c r="C475" s="49"/>
      <c r="D475" s="49"/>
      <c r="E475" s="49">
        <v>2</v>
      </c>
      <c r="F475" s="49"/>
      <c r="G475" s="123"/>
      <c r="H475" s="49" t="s">
        <v>59</v>
      </c>
      <c r="I475" s="50">
        <f>I476</f>
        <v>530265</v>
      </c>
      <c r="J475" s="50">
        <f t="shared" ref="J475:R475" si="167">J476</f>
        <v>99700</v>
      </c>
      <c r="K475" s="50">
        <f t="shared" si="167"/>
        <v>97200</v>
      </c>
      <c r="L475" s="50">
        <f t="shared" si="167"/>
        <v>48071</v>
      </c>
      <c r="M475" s="50">
        <f t="shared" si="167"/>
        <v>14169</v>
      </c>
      <c r="N475" s="50">
        <f>N476</f>
        <v>1700</v>
      </c>
      <c r="O475" s="50">
        <f t="shared" si="167"/>
        <v>6000</v>
      </c>
      <c r="P475" s="50">
        <f t="shared" si="167"/>
        <v>6000</v>
      </c>
      <c r="Q475" s="50">
        <f t="shared" si="167"/>
        <v>0</v>
      </c>
      <c r="R475" s="50">
        <f t="shared" si="167"/>
        <v>0</v>
      </c>
      <c r="T475" s="50">
        <f t="shared" si="152"/>
        <v>531965</v>
      </c>
    </row>
    <row r="476" spans="2:20" ht="15.75" hidden="1" customHeight="1" x14ac:dyDescent="0.25">
      <c r="B476" s="97">
        <f t="shared" si="153"/>
        <v>52</v>
      </c>
      <c r="C476" s="51"/>
      <c r="D476" s="51"/>
      <c r="E476" s="51" t="s">
        <v>60</v>
      </c>
      <c r="F476" s="51"/>
      <c r="G476" s="124"/>
      <c r="H476" s="51" t="s">
        <v>92</v>
      </c>
      <c r="I476" s="52">
        <f>I477+I478+I479+I485</f>
        <v>530265</v>
      </c>
      <c r="J476" s="52">
        <f>J486+J479+J478+J477+J485</f>
        <v>99700</v>
      </c>
      <c r="K476" s="52">
        <f>K486+K479+K478+K477+K485</f>
        <v>97200</v>
      </c>
      <c r="L476" s="52">
        <f>L486+L479+L478+L477+L485</f>
        <v>48071</v>
      </c>
      <c r="M476" s="52">
        <f>M486+M479+M478+M477+M485</f>
        <v>14169</v>
      </c>
      <c r="N476" s="52">
        <f>N486</f>
        <v>1700</v>
      </c>
      <c r="O476" s="52">
        <f>O486+O479+O478+O477+O485</f>
        <v>6000</v>
      </c>
      <c r="P476" s="52">
        <f>P486+P479+P478+P477+P485</f>
        <v>6000</v>
      </c>
      <c r="Q476" s="52">
        <f>Q486+Q479+Q478+Q477+Q485</f>
        <v>0</v>
      </c>
      <c r="R476" s="52">
        <f>R486+R479+R478+R477+R485</f>
        <v>0</v>
      </c>
      <c r="T476" s="52">
        <f t="shared" si="152"/>
        <v>531965</v>
      </c>
    </row>
    <row r="477" spans="2:20" x14ac:dyDescent="0.25">
      <c r="B477" s="97">
        <f t="shared" si="153"/>
        <v>53</v>
      </c>
      <c r="C477" s="29"/>
      <c r="D477" s="29"/>
      <c r="E477" s="29"/>
      <c r="F477" s="53" t="s">
        <v>379</v>
      </c>
      <c r="G477" s="125">
        <v>610</v>
      </c>
      <c r="H477" s="29" t="s">
        <v>338</v>
      </c>
      <c r="I477" s="15">
        <v>34100</v>
      </c>
      <c r="J477" s="15">
        <v>29300</v>
      </c>
      <c r="K477" s="15">
        <v>29300</v>
      </c>
      <c r="L477" s="15">
        <v>15644</v>
      </c>
      <c r="M477" s="15">
        <v>5797</v>
      </c>
      <c r="N477" s="15"/>
      <c r="O477" s="15"/>
      <c r="P477" s="15"/>
      <c r="Q477" s="15"/>
      <c r="R477" s="15"/>
      <c r="T477" s="15">
        <f t="shared" si="152"/>
        <v>34100</v>
      </c>
    </row>
    <row r="478" spans="2:20" x14ac:dyDescent="0.25">
      <c r="B478" s="97">
        <f t="shared" si="153"/>
        <v>54</v>
      </c>
      <c r="C478" s="29"/>
      <c r="D478" s="29"/>
      <c r="E478" s="29"/>
      <c r="F478" s="53" t="s">
        <v>379</v>
      </c>
      <c r="G478" s="125">
        <v>620</v>
      </c>
      <c r="H478" s="29" t="s">
        <v>313</v>
      </c>
      <c r="I478" s="15">
        <v>15565</v>
      </c>
      <c r="J478" s="15">
        <v>15300</v>
      </c>
      <c r="K478" s="15">
        <v>15300</v>
      </c>
      <c r="L478" s="15">
        <v>6820</v>
      </c>
      <c r="M478" s="15">
        <v>2092</v>
      </c>
      <c r="N478" s="15"/>
      <c r="O478" s="15"/>
      <c r="P478" s="15"/>
      <c r="Q478" s="15"/>
      <c r="R478" s="15"/>
      <c r="T478" s="15">
        <f t="shared" si="152"/>
        <v>15565</v>
      </c>
    </row>
    <row r="479" spans="2:20" x14ac:dyDescent="0.25">
      <c r="B479" s="97">
        <f t="shared" si="153"/>
        <v>55</v>
      </c>
      <c r="C479" s="29"/>
      <c r="D479" s="29"/>
      <c r="E479" s="29"/>
      <c r="F479" s="53" t="s">
        <v>379</v>
      </c>
      <c r="G479" s="125">
        <v>630</v>
      </c>
      <c r="H479" s="29" t="s">
        <v>303</v>
      </c>
      <c r="I479" s="15">
        <f>SUM(I480:I484)</f>
        <v>480600</v>
      </c>
      <c r="J479" s="15">
        <f>SUM(J480:J484)</f>
        <v>55100</v>
      </c>
      <c r="K479" s="15">
        <f t="shared" ref="K479:M479" si="168">SUM(K480:K484)</f>
        <v>52500</v>
      </c>
      <c r="L479" s="15">
        <f t="shared" si="168"/>
        <v>25607</v>
      </c>
      <c r="M479" s="15">
        <f t="shared" si="168"/>
        <v>6280</v>
      </c>
      <c r="N479" s="15"/>
      <c r="O479" s="15"/>
      <c r="P479" s="15"/>
      <c r="Q479" s="15"/>
      <c r="R479" s="15"/>
      <c r="T479" s="15">
        <f t="shared" si="152"/>
        <v>480600</v>
      </c>
    </row>
    <row r="480" spans="2:20" x14ac:dyDescent="0.25">
      <c r="B480" s="97">
        <f t="shared" si="153"/>
        <v>56</v>
      </c>
      <c r="C480" s="9"/>
      <c r="D480" s="9"/>
      <c r="E480" s="9"/>
      <c r="F480" s="54" t="s">
        <v>379</v>
      </c>
      <c r="G480" s="126">
        <v>632</v>
      </c>
      <c r="H480" s="9" t="s">
        <v>314</v>
      </c>
      <c r="I480" s="10">
        <v>412500</v>
      </c>
      <c r="J480" s="10">
        <v>0</v>
      </c>
      <c r="K480" s="10"/>
      <c r="L480" s="10"/>
      <c r="M480" s="10">
        <v>0</v>
      </c>
      <c r="N480" s="10"/>
      <c r="O480" s="10"/>
      <c r="P480" s="10"/>
      <c r="Q480" s="10"/>
      <c r="R480" s="10"/>
      <c r="T480" s="10">
        <f t="shared" si="152"/>
        <v>412500</v>
      </c>
    </row>
    <row r="481" spans="2:20" x14ac:dyDescent="0.25">
      <c r="B481" s="97">
        <f t="shared" si="153"/>
        <v>57</v>
      </c>
      <c r="C481" s="9"/>
      <c r="D481" s="9"/>
      <c r="E481" s="9"/>
      <c r="F481" s="54" t="s">
        <v>379</v>
      </c>
      <c r="G481" s="126">
        <v>633</v>
      </c>
      <c r="H481" s="9" t="s">
        <v>305</v>
      </c>
      <c r="I481" s="10">
        <v>25600</v>
      </c>
      <c r="J481" s="10">
        <v>14400</v>
      </c>
      <c r="K481" s="10">
        <v>18400</v>
      </c>
      <c r="L481" s="10">
        <v>11963</v>
      </c>
      <c r="M481" s="10">
        <v>4792</v>
      </c>
      <c r="N481" s="10"/>
      <c r="O481" s="10"/>
      <c r="P481" s="10"/>
      <c r="Q481" s="10"/>
      <c r="R481" s="10"/>
      <c r="T481" s="10">
        <f t="shared" si="152"/>
        <v>25600</v>
      </c>
    </row>
    <row r="482" spans="2:20" x14ac:dyDescent="0.25">
      <c r="B482" s="97">
        <f t="shared" si="153"/>
        <v>58</v>
      </c>
      <c r="C482" s="9"/>
      <c r="D482" s="9"/>
      <c r="E482" s="9"/>
      <c r="F482" s="54" t="s">
        <v>379</v>
      </c>
      <c r="G482" s="126">
        <v>634</v>
      </c>
      <c r="H482" s="9" t="s">
        <v>306</v>
      </c>
      <c r="I482" s="10">
        <v>6000</v>
      </c>
      <c r="J482" s="10">
        <v>6100</v>
      </c>
      <c r="K482" s="10">
        <v>6100</v>
      </c>
      <c r="L482" s="10">
        <v>2908</v>
      </c>
      <c r="M482" s="10">
        <v>1167</v>
      </c>
      <c r="N482" s="10"/>
      <c r="O482" s="10"/>
      <c r="P482" s="10"/>
      <c r="Q482" s="10"/>
      <c r="R482" s="10"/>
      <c r="T482" s="10">
        <f t="shared" si="152"/>
        <v>6000</v>
      </c>
    </row>
    <row r="483" spans="2:20" x14ac:dyDescent="0.25">
      <c r="B483" s="97">
        <f t="shared" si="153"/>
        <v>59</v>
      </c>
      <c r="C483" s="9"/>
      <c r="D483" s="9"/>
      <c r="E483" s="9"/>
      <c r="F483" s="54" t="s">
        <v>379</v>
      </c>
      <c r="G483" s="126">
        <v>635</v>
      </c>
      <c r="H483" s="9" t="s">
        <v>320</v>
      </c>
      <c r="I483" s="10">
        <v>9000</v>
      </c>
      <c r="J483" s="10">
        <v>9000</v>
      </c>
      <c r="K483" s="10">
        <v>9000</v>
      </c>
      <c r="L483" s="10">
        <v>2425</v>
      </c>
      <c r="M483" s="10">
        <v>0</v>
      </c>
      <c r="N483" s="10"/>
      <c r="O483" s="10"/>
      <c r="P483" s="10"/>
      <c r="Q483" s="10"/>
      <c r="R483" s="10"/>
      <c r="T483" s="10">
        <f t="shared" si="152"/>
        <v>9000</v>
      </c>
    </row>
    <row r="484" spans="2:20" x14ac:dyDescent="0.25">
      <c r="B484" s="97">
        <f t="shared" si="153"/>
        <v>60</v>
      </c>
      <c r="C484" s="9"/>
      <c r="D484" s="9"/>
      <c r="E484" s="9"/>
      <c r="F484" s="54" t="s">
        <v>379</v>
      </c>
      <c r="G484" s="126">
        <v>637</v>
      </c>
      <c r="H484" s="9" t="s">
        <v>308</v>
      </c>
      <c r="I484" s="10">
        <v>27500</v>
      </c>
      <c r="J484" s="10">
        <v>25600</v>
      </c>
      <c r="K484" s="10">
        <v>19000</v>
      </c>
      <c r="L484" s="10">
        <v>8311</v>
      </c>
      <c r="M484" s="10">
        <v>321</v>
      </c>
      <c r="N484" s="10"/>
      <c r="O484" s="10"/>
      <c r="P484" s="10"/>
      <c r="Q484" s="10"/>
      <c r="R484" s="10"/>
      <c r="T484" s="10">
        <f t="shared" si="152"/>
        <v>27500</v>
      </c>
    </row>
    <row r="485" spans="2:20" x14ac:dyDescent="0.25">
      <c r="B485" s="97">
        <f t="shared" si="153"/>
        <v>61</v>
      </c>
      <c r="C485" s="9"/>
      <c r="D485" s="9"/>
      <c r="E485" s="9"/>
      <c r="F485" s="60" t="s">
        <v>379</v>
      </c>
      <c r="G485" s="129">
        <v>640</v>
      </c>
      <c r="H485" s="7" t="s">
        <v>315</v>
      </c>
      <c r="I485" s="8">
        <v>0</v>
      </c>
      <c r="J485" s="8"/>
      <c r="K485" s="8">
        <v>100</v>
      </c>
      <c r="L485" s="8"/>
      <c r="M485" s="8"/>
      <c r="N485" s="10"/>
      <c r="O485" s="10"/>
      <c r="P485" s="10"/>
      <c r="Q485" s="10"/>
      <c r="R485" s="10"/>
      <c r="T485" s="10">
        <f t="shared" si="152"/>
        <v>0</v>
      </c>
    </row>
    <row r="486" spans="2:20" x14ac:dyDescent="0.25">
      <c r="B486" s="97">
        <f t="shared" si="153"/>
        <v>62</v>
      </c>
      <c r="C486" s="29"/>
      <c r="D486" s="29"/>
      <c r="E486" s="29"/>
      <c r="F486" s="53" t="s">
        <v>379</v>
      </c>
      <c r="G486" s="125">
        <v>710</v>
      </c>
      <c r="H486" s="29" t="s">
        <v>321</v>
      </c>
      <c r="I486" s="15"/>
      <c r="J486" s="15"/>
      <c r="K486" s="15"/>
      <c r="L486" s="15"/>
      <c r="M486" s="15"/>
      <c r="N486" s="15">
        <f>N487</f>
        <v>1700</v>
      </c>
      <c r="O486" s="15">
        <f t="shared" ref="O486:P486" si="169">O487</f>
        <v>6000</v>
      </c>
      <c r="P486" s="15">
        <f t="shared" si="169"/>
        <v>6000</v>
      </c>
      <c r="Q486" s="15"/>
      <c r="R486" s="15"/>
      <c r="T486" s="15">
        <f t="shared" si="152"/>
        <v>1700</v>
      </c>
    </row>
    <row r="487" spans="2:20" x14ac:dyDescent="0.25">
      <c r="B487" s="97">
        <f t="shared" si="153"/>
        <v>63</v>
      </c>
      <c r="C487" s="9"/>
      <c r="D487" s="9"/>
      <c r="E487" s="9"/>
      <c r="F487" s="54" t="s">
        <v>379</v>
      </c>
      <c r="G487" s="126">
        <v>713</v>
      </c>
      <c r="H487" s="9" t="s">
        <v>360</v>
      </c>
      <c r="I487" s="10"/>
      <c r="J487" s="10"/>
      <c r="K487" s="10"/>
      <c r="L487" s="10"/>
      <c r="M487" s="10"/>
      <c r="N487" s="10">
        <v>1700</v>
      </c>
      <c r="O487" s="10">
        <v>6000</v>
      </c>
      <c r="P487" s="10">
        <v>6000</v>
      </c>
      <c r="Q487" s="10"/>
      <c r="R487" s="10"/>
      <c r="T487" s="10">
        <f t="shared" si="152"/>
        <v>1700</v>
      </c>
    </row>
    <row r="488" spans="2:20" ht="15.75" x14ac:dyDescent="0.25">
      <c r="B488" s="97">
        <f t="shared" si="153"/>
        <v>64</v>
      </c>
      <c r="C488" s="45">
        <v>3</v>
      </c>
      <c r="D488" s="293" t="s">
        <v>405</v>
      </c>
      <c r="E488" s="294"/>
      <c r="F488" s="294"/>
      <c r="G488" s="294"/>
      <c r="H488" s="295"/>
      <c r="I488" s="46">
        <f>I492</f>
        <v>7000</v>
      </c>
      <c r="J488" s="46">
        <f t="shared" ref="J488:M490" si="170">J489</f>
        <v>5000</v>
      </c>
      <c r="K488" s="46">
        <f t="shared" si="170"/>
        <v>8000</v>
      </c>
      <c r="L488" s="46">
        <f t="shared" si="170"/>
        <v>4973.6400000000003</v>
      </c>
      <c r="M488" s="46">
        <f t="shared" si="170"/>
        <v>4425.8</v>
      </c>
      <c r="N488" s="46">
        <v>0</v>
      </c>
      <c r="O488" s="46">
        <f t="shared" ref="O488:R490" si="171">O489</f>
        <v>5000</v>
      </c>
      <c r="P488" s="46">
        <f t="shared" si="171"/>
        <v>2377</v>
      </c>
      <c r="Q488" s="46">
        <f t="shared" si="171"/>
        <v>23277</v>
      </c>
      <c r="R488" s="46">
        <f t="shared" si="171"/>
        <v>0</v>
      </c>
      <c r="T488" s="46">
        <f t="shared" si="152"/>
        <v>7000</v>
      </c>
    </row>
    <row r="489" spans="2:20" hidden="1" x14ac:dyDescent="0.25">
      <c r="B489" s="97">
        <f t="shared" si="153"/>
        <v>65</v>
      </c>
      <c r="C489" s="47"/>
      <c r="D489" s="47" t="s">
        <v>60</v>
      </c>
      <c r="E489" s="296"/>
      <c r="F489" s="294"/>
      <c r="G489" s="294"/>
      <c r="H489" s="295"/>
      <c r="I489" s="48" t="e">
        <f>#REF!+#REF!</f>
        <v>#REF!</v>
      </c>
      <c r="J489" s="48">
        <f t="shared" si="170"/>
        <v>5000</v>
      </c>
      <c r="K489" s="48">
        <f t="shared" si="170"/>
        <v>8000</v>
      </c>
      <c r="L489" s="48">
        <f t="shared" si="170"/>
        <v>4973.6400000000003</v>
      </c>
      <c r="M489" s="48">
        <f t="shared" si="170"/>
        <v>4425.8</v>
      </c>
      <c r="N489" s="48" t="e">
        <f>#REF!+#REF!</f>
        <v>#REF!</v>
      </c>
      <c r="O489" s="48">
        <f t="shared" si="171"/>
        <v>5000</v>
      </c>
      <c r="P489" s="48">
        <f t="shared" si="171"/>
        <v>2377</v>
      </c>
      <c r="Q489" s="48">
        <f t="shared" si="171"/>
        <v>23277</v>
      </c>
      <c r="R489" s="48">
        <f t="shared" si="171"/>
        <v>0</v>
      </c>
      <c r="T489" s="48" t="e">
        <f t="shared" si="152"/>
        <v>#REF!</v>
      </c>
    </row>
    <row r="490" spans="2:20" hidden="1" x14ac:dyDescent="0.25">
      <c r="B490" s="97">
        <f t="shared" si="153"/>
        <v>66</v>
      </c>
      <c r="C490" s="49"/>
      <c r="D490" s="49"/>
      <c r="E490" s="49"/>
      <c r="F490" s="49"/>
      <c r="G490" s="123"/>
      <c r="H490" s="49" t="s">
        <v>12</v>
      </c>
      <c r="I490" s="50" t="e">
        <f>#REF!+#REF!</f>
        <v>#REF!</v>
      </c>
      <c r="J490" s="50">
        <f t="shared" si="170"/>
        <v>5000</v>
      </c>
      <c r="K490" s="50">
        <f t="shared" si="170"/>
        <v>8000</v>
      </c>
      <c r="L490" s="50">
        <f t="shared" si="170"/>
        <v>4973.6400000000003</v>
      </c>
      <c r="M490" s="50">
        <f t="shared" si="170"/>
        <v>4425.8</v>
      </c>
      <c r="N490" s="50" t="e">
        <f>#REF!+#REF!</f>
        <v>#REF!</v>
      </c>
      <c r="O490" s="50">
        <f t="shared" si="171"/>
        <v>5000</v>
      </c>
      <c r="P490" s="50">
        <f t="shared" si="171"/>
        <v>2377</v>
      </c>
      <c r="Q490" s="50">
        <f t="shared" si="171"/>
        <v>23277</v>
      </c>
      <c r="R490" s="50">
        <f t="shared" si="171"/>
        <v>0</v>
      </c>
      <c r="T490" s="50" t="e">
        <f t="shared" ref="T490:T520" si="172">N490+I490</f>
        <v>#REF!</v>
      </c>
    </row>
    <row r="491" spans="2:20" hidden="1" x14ac:dyDescent="0.25">
      <c r="B491" s="97">
        <f t="shared" ref="B491:B520" si="173">B490+1</f>
        <v>67</v>
      </c>
      <c r="C491" s="51"/>
      <c r="D491" s="51"/>
      <c r="E491" s="51" t="s">
        <v>60</v>
      </c>
      <c r="F491" s="51"/>
      <c r="G491" s="124"/>
      <c r="H491" s="51"/>
      <c r="I491" s="52" t="e">
        <f>#REF!+#REF!</f>
        <v>#REF!</v>
      </c>
      <c r="J491" s="52">
        <f t="shared" ref="J491:R491" si="174">J494+J492</f>
        <v>5000</v>
      </c>
      <c r="K491" s="52">
        <f t="shared" si="174"/>
        <v>8000</v>
      </c>
      <c r="L491" s="52">
        <f t="shared" si="174"/>
        <v>4973.6400000000003</v>
      </c>
      <c r="M491" s="52">
        <f t="shared" si="174"/>
        <v>4425.8</v>
      </c>
      <c r="N491" s="52" t="e">
        <f>#REF!+#REF!</f>
        <v>#REF!</v>
      </c>
      <c r="O491" s="52">
        <f t="shared" si="174"/>
        <v>5000</v>
      </c>
      <c r="P491" s="52">
        <f t="shared" si="174"/>
        <v>2377</v>
      </c>
      <c r="Q491" s="52">
        <f t="shared" si="174"/>
        <v>23277</v>
      </c>
      <c r="R491" s="52">
        <f t="shared" si="174"/>
        <v>0</v>
      </c>
      <c r="T491" s="52" t="e">
        <f t="shared" si="172"/>
        <v>#REF!</v>
      </c>
    </row>
    <row r="492" spans="2:20" x14ac:dyDescent="0.25">
      <c r="B492" s="97">
        <f t="shared" si="173"/>
        <v>68</v>
      </c>
      <c r="C492" s="29"/>
      <c r="D492" s="29"/>
      <c r="E492" s="29"/>
      <c r="F492" s="53" t="s">
        <v>378</v>
      </c>
      <c r="G492" s="125">
        <v>630</v>
      </c>
      <c r="H492" s="29" t="s">
        <v>303</v>
      </c>
      <c r="I492" s="15">
        <f>I493</f>
        <v>7000</v>
      </c>
      <c r="J492" s="15">
        <f t="shared" ref="J492:M492" si="175">J493</f>
        <v>5000</v>
      </c>
      <c r="K492" s="15">
        <f t="shared" si="175"/>
        <v>8000</v>
      </c>
      <c r="L492" s="15">
        <f t="shared" si="175"/>
        <v>4973.6400000000003</v>
      </c>
      <c r="M492" s="15">
        <f t="shared" si="175"/>
        <v>4425.8</v>
      </c>
      <c r="N492" s="15"/>
      <c r="O492" s="15"/>
      <c r="P492" s="15"/>
      <c r="Q492" s="15"/>
      <c r="R492" s="15"/>
      <c r="T492" s="15">
        <f t="shared" si="172"/>
        <v>7000</v>
      </c>
    </row>
    <row r="493" spans="2:20" x14ac:dyDescent="0.25">
      <c r="B493" s="97">
        <f t="shared" si="173"/>
        <v>69</v>
      </c>
      <c r="C493" s="9"/>
      <c r="D493" s="9"/>
      <c r="E493" s="9"/>
      <c r="F493" s="54" t="s">
        <v>378</v>
      </c>
      <c r="G493" s="126">
        <v>635</v>
      </c>
      <c r="H493" s="9" t="s">
        <v>320</v>
      </c>
      <c r="I493" s="10">
        <v>7000</v>
      </c>
      <c r="J493" s="10">
        <v>5000</v>
      </c>
      <c r="K493" s="10">
        <v>8000</v>
      </c>
      <c r="L493" s="10">
        <v>4973.6400000000003</v>
      </c>
      <c r="M493" s="10">
        <v>4425.8</v>
      </c>
      <c r="N493" s="10"/>
      <c r="O493" s="10"/>
      <c r="P493" s="10"/>
      <c r="Q493" s="10"/>
      <c r="R493" s="10"/>
      <c r="T493" s="10">
        <f t="shared" si="172"/>
        <v>7000</v>
      </c>
    </row>
    <row r="494" spans="2:20" x14ac:dyDescent="0.25">
      <c r="B494" s="97">
        <f t="shared" si="173"/>
        <v>70</v>
      </c>
      <c r="C494" s="29"/>
      <c r="D494" s="29"/>
      <c r="E494" s="29"/>
      <c r="F494" s="53" t="s">
        <v>378</v>
      </c>
      <c r="G494" s="125">
        <v>710</v>
      </c>
      <c r="H494" s="29" t="s">
        <v>321</v>
      </c>
      <c r="I494" s="15"/>
      <c r="J494" s="15"/>
      <c r="K494" s="15"/>
      <c r="L494" s="15"/>
      <c r="M494" s="15"/>
      <c r="N494" s="15"/>
      <c r="O494" s="15">
        <f>O496+O495</f>
        <v>5000</v>
      </c>
      <c r="P494" s="15">
        <f>P496+P495</f>
        <v>2377</v>
      </c>
      <c r="Q494" s="15">
        <f>Q496+Q495</f>
        <v>23277</v>
      </c>
      <c r="R494" s="15"/>
      <c r="T494" s="15">
        <f t="shared" si="172"/>
        <v>0</v>
      </c>
    </row>
    <row r="495" spans="2:20" x14ac:dyDescent="0.25">
      <c r="B495" s="97">
        <f t="shared" si="173"/>
        <v>71</v>
      </c>
      <c r="C495" s="9"/>
      <c r="D495" s="9"/>
      <c r="E495" s="9"/>
      <c r="F495" s="54" t="s">
        <v>378</v>
      </c>
      <c r="G495" s="126">
        <v>713</v>
      </c>
      <c r="H495" s="9" t="s">
        <v>360</v>
      </c>
      <c r="I495" s="10"/>
      <c r="J495" s="10"/>
      <c r="K495" s="10"/>
      <c r="L495" s="10"/>
      <c r="M495" s="10"/>
      <c r="N495" s="10"/>
      <c r="O495" s="10">
        <v>5000</v>
      </c>
      <c r="P495" s="10">
        <v>2000</v>
      </c>
      <c r="Q495" s="10">
        <v>23277</v>
      </c>
      <c r="R495" s="10"/>
      <c r="T495" s="10">
        <f t="shared" si="172"/>
        <v>0</v>
      </c>
    </row>
    <row r="496" spans="2:20" x14ac:dyDescent="0.25">
      <c r="B496" s="97">
        <f t="shared" si="173"/>
        <v>72</v>
      </c>
      <c r="C496" s="9"/>
      <c r="D496" s="9"/>
      <c r="E496" s="9"/>
      <c r="F496" s="54" t="s">
        <v>378</v>
      </c>
      <c r="G496" s="126">
        <v>719</v>
      </c>
      <c r="H496" s="9" t="s">
        <v>361</v>
      </c>
      <c r="I496" s="10"/>
      <c r="J496" s="10"/>
      <c r="K496" s="10"/>
      <c r="L496" s="10"/>
      <c r="M496" s="10"/>
      <c r="N496" s="10"/>
      <c r="O496" s="10">
        <v>0</v>
      </c>
      <c r="P496" s="10">
        <v>377</v>
      </c>
      <c r="Q496" s="10">
        <v>0</v>
      </c>
      <c r="R496" s="10"/>
      <c r="T496" s="10">
        <f t="shared" si="172"/>
        <v>0</v>
      </c>
    </row>
    <row r="497" spans="2:20" ht="15.75" x14ac:dyDescent="0.25">
      <c r="B497" s="97">
        <f t="shared" si="173"/>
        <v>73</v>
      </c>
      <c r="C497" s="45">
        <v>4</v>
      </c>
      <c r="D497" s="293" t="s">
        <v>406</v>
      </c>
      <c r="E497" s="294"/>
      <c r="F497" s="294"/>
      <c r="G497" s="294"/>
      <c r="H497" s="295"/>
      <c r="I497" s="46">
        <f>I501</f>
        <v>18325</v>
      </c>
      <c r="J497" s="46">
        <f t="shared" ref="J497:M497" si="176">J501</f>
        <v>7000</v>
      </c>
      <c r="K497" s="46">
        <f t="shared" si="176"/>
        <v>7000</v>
      </c>
      <c r="L497" s="46">
        <f t="shared" si="176"/>
        <v>6900</v>
      </c>
      <c r="M497" s="46">
        <f t="shared" si="176"/>
        <v>6299.98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T497" s="46">
        <f t="shared" si="172"/>
        <v>18325</v>
      </c>
    </row>
    <row r="498" spans="2:20" hidden="1" x14ac:dyDescent="0.25">
      <c r="B498" s="97">
        <f t="shared" si="173"/>
        <v>74</v>
      </c>
      <c r="C498" s="47"/>
      <c r="D498" s="47" t="s">
        <v>60</v>
      </c>
      <c r="E498" s="296"/>
      <c r="F498" s="294"/>
      <c r="G498" s="294"/>
      <c r="H498" s="295"/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 t="shared" ref="O498:R499" si="177">O499</f>
        <v>#REF!</v>
      </c>
      <c r="P498" s="48" t="e">
        <f t="shared" si="177"/>
        <v>#REF!</v>
      </c>
      <c r="Q498" s="48" t="e">
        <f t="shared" si="177"/>
        <v>#REF!</v>
      </c>
      <c r="R498" s="48" t="e">
        <f t="shared" si="177"/>
        <v>#REF!</v>
      </c>
      <c r="T498" s="48" t="e">
        <f t="shared" si="172"/>
        <v>#REF!</v>
      </c>
    </row>
    <row r="499" spans="2:20" hidden="1" x14ac:dyDescent="0.25">
      <c r="B499" s="97">
        <f t="shared" si="173"/>
        <v>75</v>
      </c>
      <c r="C499" s="49"/>
      <c r="D499" s="49"/>
      <c r="E499" s="49"/>
      <c r="F499" s="49"/>
      <c r="G499" s="123"/>
      <c r="H499" s="49" t="s">
        <v>12</v>
      </c>
      <c r="I499" s="50" t="e">
        <f>#REF!+#REF!</f>
        <v>#REF!</v>
      </c>
      <c r="J499" s="50" t="e">
        <f>#REF!+#REF!</f>
        <v>#REF!</v>
      </c>
      <c r="K499" s="50" t="e">
        <f>#REF!+#REF!</f>
        <v>#REF!</v>
      </c>
      <c r="L499" s="50" t="e">
        <f>#REF!+#REF!</f>
        <v>#REF!</v>
      </c>
      <c r="M499" s="50" t="e">
        <f>#REF!+#REF!</f>
        <v>#REF!</v>
      </c>
      <c r="N499" s="50" t="e">
        <f>#REF!+#REF!</f>
        <v>#REF!</v>
      </c>
      <c r="O499" s="50" t="e">
        <f t="shared" si="177"/>
        <v>#REF!</v>
      </c>
      <c r="P499" s="50" t="e">
        <f t="shared" si="177"/>
        <v>#REF!</v>
      </c>
      <c r="Q499" s="50" t="e">
        <f t="shared" si="177"/>
        <v>#REF!</v>
      </c>
      <c r="R499" s="50" t="e">
        <f t="shared" si="177"/>
        <v>#REF!</v>
      </c>
      <c r="T499" s="50" t="e">
        <f t="shared" si="172"/>
        <v>#REF!</v>
      </c>
    </row>
    <row r="500" spans="2:20" hidden="1" x14ac:dyDescent="0.25">
      <c r="B500" s="97">
        <f t="shared" si="173"/>
        <v>76</v>
      </c>
      <c r="C500" s="51"/>
      <c r="D500" s="51"/>
      <c r="E500" s="51" t="s">
        <v>60</v>
      </c>
      <c r="F500" s="51"/>
      <c r="G500" s="124"/>
      <c r="H500" s="51"/>
      <c r="I500" s="52" t="e">
        <f>#REF!+#REF!</f>
        <v>#REF!</v>
      </c>
      <c r="J500" s="52" t="e">
        <f>#REF!+#REF!</f>
        <v>#REF!</v>
      </c>
      <c r="K500" s="52" t="e">
        <f>#REF!+#REF!</f>
        <v>#REF!</v>
      </c>
      <c r="L500" s="52" t="e">
        <f>#REF!+#REF!</f>
        <v>#REF!</v>
      </c>
      <c r="M500" s="52" t="e">
        <f>#REF!+#REF!</f>
        <v>#REF!</v>
      </c>
      <c r="N500" s="52" t="e">
        <f>#REF!+#REF!</f>
        <v>#REF!</v>
      </c>
      <c r="O500" s="52" t="e">
        <f>O501+#REF!</f>
        <v>#REF!</v>
      </c>
      <c r="P500" s="52" t="e">
        <f>P501+#REF!</f>
        <v>#REF!</v>
      </c>
      <c r="Q500" s="52" t="e">
        <f>Q501+#REF!</f>
        <v>#REF!</v>
      </c>
      <c r="R500" s="52" t="e">
        <f>R501+#REF!</f>
        <v>#REF!</v>
      </c>
      <c r="T500" s="52" t="e">
        <f t="shared" si="172"/>
        <v>#REF!</v>
      </c>
    </row>
    <row r="501" spans="2:20" x14ac:dyDescent="0.25">
      <c r="B501" s="97">
        <f t="shared" si="173"/>
        <v>77</v>
      </c>
      <c r="C501" s="29"/>
      <c r="D501" s="29"/>
      <c r="E501" s="29"/>
      <c r="F501" s="53" t="s">
        <v>407</v>
      </c>
      <c r="G501" s="125">
        <v>630</v>
      </c>
      <c r="H501" s="29" t="s">
        <v>303</v>
      </c>
      <c r="I501" s="15">
        <f>SUM(I502:I502)</f>
        <v>18325</v>
      </c>
      <c r="J501" s="15">
        <f t="shared" ref="J501:M501" si="178">SUM(J502:J502)</f>
        <v>7000</v>
      </c>
      <c r="K501" s="15">
        <f t="shared" si="178"/>
        <v>7000</v>
      </c>
      <c r="L501" s="15">
        <f t="shared" si="178"/>
        <v>6900</v>
      </c>
      <c r="M501" s="15">
        <f t="shared" si="178"/>
        <v>6299.98</v>
      </c>
      <c r="N501" s="15"/>
      <c r="O501" s="15"/>
      <c r="P501" s="15"/>
      <c r="Q501" s="15"/>
      <c r="R501" s="15"/>
      <c r="T501" s="15">
        <f t="shared" si="172"/>
        <v>18325</v>
      </c>
    </row>
    <row r="502" spans="2:20" x14ac:dyDescent="0.25">
      <c r="B502" s="97">
        <f t="shared" si="173"/>
        <v>78</v>
      </c>
      <c r="C502" s="9"/>
      <c r="D502" s="9"/>
      <c r="E502" s="9"/>
      <c r="F502" s="54" t="s">
        <v>407</v>
      </c>
      <c r="G502" s="126">
        <v>637</v>
      </c>
      <c r="H502" s="9" t="s">
        <v>308</v>
      </c>
      <c r="I502" s="10">
        <v>18325</v>
      </c>
      <c r="J502" s="10">
        <v>7000</v>
      </c>
      <c r="K502" s="10">
        <v>7000</v>
      </c>
      <c r="L502" s="10">
        <v>6900</v>
      </c>
      <c r="M502" s="10">
        <v>6299.98</v>
      </c>
      <c r="N502" s="10"/>
      <c r="O502" s="10"/>
      <c r="P502" s="10"/>
      <c r="Q502" s="10"/>
      <c r="R502" s="10"/>
      <c r="T502" s="10">
        <f t="shared" si="172"/>
        <v>18325</v>
      </c>
    </row>
    <row r="503" spans="2:20" ht="15.75" x14ac:dyDescent="0.25">
      <c r="B503" s="97">
        <f t="shared" si="173"/>
        <v>79</v>
      </c>
      <c r="C503" s="45">
        <v>5</v>
      </c>
      <c r="D503" s="293" t="s">
        <v>408</v>
      </c>
      <c r="E503" s="294"/>
      <c r="F503" s="294"/>
      <c r="G503" s="294"/>
      <c r="H503" s="295"/>
      <c r="I503" s="46">
        <f>I507+I511</f>
        <v>13035</v>
      </c>
      <c r="J503" s="46">
        <f t="shared" ref="J503:M503" si="179">J507+J511</f>
        <v>19900</v>
      </c>
      <c r="K503" s="46">
        <f t="shared" si="179"/>
        <v>22600</v>
      </c>
      <c r="L503" s="46">
        <f t="shared" si="179"/>
        <v>19281.48</v>
      </c>
      <c r="M503" s="46">
        <f t="shared" si="179"/>
        <v>20619.489999999998</v>
      </c>
      <c r="N503" s="46">
        <v>0</v>
      </c>
      <c r="O503" s="46">
        <f>O516+O519</f>
        <v>700</v>
      </c>
      <c r="P503" s="46">
        <f>P516+P519</f>
        <v>16050</v>
      </c>
      <c r="Q503" s="46">
        <v>0</v>
      </c>
      <c r="R503" s="46">
        <v>0</v>
      </c>
      <c r="T503" s="46">
        <f t="shared" si="172"/>
        <v>13035</v>
      </c>
    </row>
    <row r="504" spans="2:20" hidden="1" x14ac:dyDescent="0.25">
      <c r="B504" s="97">
        <f t="shared" si="173"/>
        <v>80</v>
      </c>
      <c r="C504" s="47"/>
      <c r="D504" s="47" t="s">
        <v>60</v>
      </c>
      <c r="E504" s="296"/>
      <c r="F504" s="294"/>
      <c r="G504" s="294"/>
      <c r="H504" s="295"/>
      <c r="I504" s="48" t="e">
        <f>#REF!+#REF!</f>
        <v>#REF!</v>
      </c>
      <c r="J504" s="48" t="e">
        <f t="shared" ref="J504:M505" si="180">J505</f>
        <v>#REF!</v>
      </c>
      <c r="K504" s="48" t="e">
        <f t="shared" si="180"/>
        <v>#REF!</v>
      </c>
      <c r="L504" s="48" t="e">
        <f t="shared" si="180"/>
        <v>#REF!</v>
      </c>
      <c r="M504" s="48" t="e">
        <f t="shared" si="180"/>
        <v>#REF!</v>
      </c>
      <c r="N504" s="48" t="e">
        <f>#REF!+#REF!</f>
        <v>#REF!</v>
      </c>
      <c r="O504" s="48" t="e">
        <f t="shared" ref="O504:R505" si="181">O505</f>
        <v>#REF!</v>
      </c>
      <c r="P504" s="48" t="e">
        <f t="shared" si="181"/>
        <v>#REF!</v>
      </c>
      <c r="Q504" s="48" t="e">
        <f t="shared" si="181"/>
        <v>#REF!</v>
      </c>
      <c r="R504" s="48" t="e">
        <f t="shared" si="181"/>
        <v>#REF!</v>
      </c>
      <c r="T504" s="48" t="e">
        <f t="shared" si="172"/>
        <v>#REF!</v>
      </c>
    </row>
    <row r="505" spans="2:20" hidden="1" x14ac:dyDescent="0.25">
      <c r="B505" s="97">
        <f t="shared" si="173"/>
        <v>81</v>
      </c>
      <c r="C505" s="49"/>
      <c r="D505" s="49"/>
      <c r="E505" s="49"/>
      <c r="F505" s="49"/>
      <c r="G505" s="123"/>
      <c r="H505" s="49" t="s">
        <v>12</v>
      </c>
      <c r="I505" s="50" t="e">
        <f>#REF!+#REF!</f>
        <v>#REF!</v>
      </c>
      <c r="J505" s="50" t="e">
        <f t="shared" si="180"/>
        <v>#REF!</v>
      </c>
      <c r="K505" s="50" t="e">
        <f t="shared" si="180"/>
        <v>#REF!</v>
      </c>
      <c r="L505" s="50" t="e">
        <f t="shared" si="180"/>
        <v>#REF!</v>
      </c>
      <c r="M505" s="50" t="e">
        <f t="shared" si="180"/>
        <v>#REF!</v>
      </c>
      <c r="N505" s="50" t="e">
        <f>#REF!+#REF!</f>
        <v>#REF!</v>
      </c>
      <c r="O505" s="50" t="e">
        <f t="shared" si="181"/>
        <v>#REF!</v>
      </c>
      <c r="P505" s="50" t="e">
        <f t="shared" si="181"/>
        <v>#REF!</v>
      </c>
      <c r="Q505" s="50" t="e">
        <f t="shared" si="181"/>
        <v>#REF!</v>
      </c>
      <c r="R505" s="50" t="e">
        <f t="shared" si="181"/>
        <v>#REF!</v>
      </c>
      <c r="T505" s="50" t="e">
        <f t="shared" si="172"/>
        <v>#REF!</v>
      </c>
    </row>
    <row r="506" spans="2:20" hidden="1" x14ac:dyDescent="0.25">
      <c r="B506" s="97">
        <f t="shared" si="173"/>
        <v>82</v>
      </c>
      <c r="C506" s="51"/>
      <c r="D506" s="51"/>
      <c r="E506" s="51" t="s">
        <v>60</v>
      </c>
      <c r="F506" s="51"/>
      <c r="G506" s="124"/>
      <c r="H506" s="51"/>
      <c r="I506" s="52" t="e">
        <f>#REF!+#REF!</f>
        <v>#REF!</v>
      </c>
      <c r="J506" s="52" t="e">
        <f>J519+J516+J511+J507+#REF!</f>
        <v>#REF!</v>
      </c>
      <c r="K506" s="52" t="e">
        <f>K519+K516+K511+K507+#REF!</f>
        <v>#REF!</v>
      </c>
      <c r="L506" s="52" t="e">
        <f>L519+L516+L511+L507+#REF!</f>
        <v>#REF!</v>
      </c>
      <c r="M506" s="52" t="e">
        <f>M519+M516+M511+M507+#REF!</f>
        <v>#REF!</v>
      </c>
      <c r="N506" s="52" t="e">
        <f>#REF!+#REF!</f>
        <v>#REF!</v>
      </c>
      <c r="O506" s="52" t="e">
        <f>O519+O516+O511+O507+#REF!</f>
        <v>#REF!</v>
      </c>
      <c r="P506" s="52" t="e">
        <f>P519+P516+P511+P507+#REF!</f>
        <v>#REF!</v>
      </c>
      <c r="Q506" s="52" t="e">
        <f>Q519+Q516+Q511+Q507+#REF!</f>
        <v>#REF!</v>
      </c>
      <c r="R506" s="52" t="e">
        <f>R519+R516+R511+R507+#REF!</f>
        <v>#REF!</v>
      </c>
      <c r="T506" s="52" t="e">
        <f t="shared" si="172"/>
        <v>#REF!</v>
      </c>
    </row>
    <row r="507" spans="2:20" x14ac:dyDescent="0.25">
      <c r="B507" s="97">
        <f t="shared" si="173"/>
        <v>83</v>
      </c>
      <c r="C507" s="29"/>
      <c r="D507" s="29"/>
      <c r="E507" s="29"/>
      <c r="F507" s="53" t="s">
        <v>409</v>
      </c>
      <c r="G507" s="125">
        <v>630</v>
      </c>
      <c r="H507" s="29" t="s">
        <v>303</v>
      </c>
      <c r="I507" s="15">
        <f>SUM(I508:I510)</f>
        <v>4035</v>
      </c>
      <c r="J507" s="15">
        <f t="shared" ref="J507:M507" si="182">J510+J509+J508</f>
        <v>10900</v>
      </c>
      <c r="K507" s="15">
        <f t="shared" si="182"/>
        <v>13600</v>
      </c>
      <c r="L507" s="15">
        <f t="shared" si="182"/>
        <v>9281.48</v>
      </c>
      <c r="M507" s="15">
        <f t="shared" si="182"/>
        <v>5619.49</v>
      </c>
      <c r="N507" s="15"/>
      <c r="O507" s="15"/>
      <c r="P507" s="15"/>
      <c r="Q507" s="15"/>
      <c r="R507" s="15"/>
      <c r="T507" s="15">
        <f t="shared" si="172"/>
        <v>4035</v>
      </c>
    </row>
    <row r="508" spans="2:20" x14ac:dyDescent="0.25">
      <c r="B508" s="97">
        <f t="shared" si="173"/>
        <v>84</v>
      </c>
      <c r="C508" s="9"/>
      <c r="D508" s="9"/>
      <c r="E508" s="9"/>
      <c r="F508" s="54" t="s">
        <v>409</v>
      </c>
      <c r="G508" s="126">
        <v>633</v>
      </c>
      <c r="H508" s="9" t="s">
        <v>305</v>
      </c>
      <c r="I508" s="10">
        <v>0</v>
      </c>
      <c r="J508" s="10">
        <v>0</v>
      </c>
      <c r="K508" s="10">
        <v>3200</v>
      </c>
      <c r="L508" s="10">
        <v>0</v>
      </c>
      <c r="M508" s="10">
        <v>0</v>
      </c>
      <c r="N508" s="10"/>
      <c r="O508" s="10"/>
      <c r="P508" s="10"/>
      <c r="Q508" s="10"/>
      <c r="R508" s="10"/>
      <c r="T508" s="10">
        <f t="shared" si="172"/>
        <v>0</v>
      </c>
    </row>
    <row r="509" spans="2:20" x14ac:dyDescent="0.25">
      <c r="B509" s="97">
        <f t="shared" si="173"/>
        <v>85</v>
      </c>
      <c r="C509" s="9"/>
      <c r="D509" s="9"/>
      <c r="E509" s="9"/>
      <c r="F509" s="54" t="s">
        <v>409</v>
      </c>
      <c r="G509" s="126">
        <v>634</v>
      </c>
      <c r="H509" s="9" t="s">
        <v>306</v>
      </c>
      <c r="I509" s="10">
        <v>2300</v>
      </c>
      <c r="J509" s="10">
        <v>2180</v>
      </c>
      <c r="K509" s="10">
        <v>2180</v>
      </c>
      <c r="L509" s="10">
        <v>475.92</v>
      </c>
      <c r="M509" s="10">
        <v>475.92</v>
      </c>
      <c r="N509" s="10"/>
      <c r="O509" s="10"/>
      <c r="P509" s="10"/>
      <c r="Q509" s="10"/>
      <c r="R509" s="10"/>
      <c r="T509" s="10">
        <f t="shared" si="172"/>
        <v>2300</v>
      </c>
    </row>
    <row r="510" spans="2:20" x14ac:dyDescent="0.25">
      <c r="B510" s="97">
        <f t="shared" si="173"/>
        <v>86</v>
      </c>
      <c r="C510" s="9"/>
      <c r="D510" s="9"/>
      <c r="E510" s="9"/>
      <c r="F510" s="54" t="s">
        <v>409</v>
      </c>
      <c r="G510" s="126">
        <v>637</v>
      </c>
      <c r="H510" s="9" t="s">
        <v>308</v>
      </c>
      <c r="I510" s="10">
        <v>1735</v>
      </c>
      <c r="J510" s="10">
        <v>8720</v>
      </c>
      <c r="K510" s="10">
        <v>8220</v>
      </c>
      <c r="L510" s="10">
        <v>8805.56</v>
      </c>
      <c r="M510" s="10">
        <v>5143.57</v>
      </c>
      <c r="N510" s="10"/>
      <c r="O510" s="10"/>
      <c r="P510" s="10"/>
      <c r="Q510" s="10"/>
      <c r="R510" s="10"/>
      <c r="T510" s="10">
        <f t="shared" si="172"/>
        <v>1735</v>
      </c>
    </row>
    <row r="511" spans="2:20" x14ac:dyDescent="0.25">
      <c r="B511" s="97">
        <f t="shared" si="173"/>
        <v>87</v>
      </c>
      <c r="C511" s="29"/>
      <c r="D511" s="29"/>
      <c r="E511" s="29"/>
      <c r="F511" s="53" t="s">
        <v>409</v>
      </c>
      <c r="G511" s="125">
        <v>640</v>
      </c>
      <c r="H511" s="29" t="s">
        <v>315</v>
      </c>
      <c r="I511" s="15">
        <f>I512</f>
        <v>9000</v>
      </c>
      <c r="J511" s="15">
        <f t="shared" ref="J511:M511" si="183">J512</f>
        <v>9000</v>
      </c>
      <c r="K511" s="15">
        <f t="shared" si="183"/>
        <v>9000</v>
      </c>
      <c r="L511" s="15">
        <f t="shared" si="183"/>
        <v>10000</v>
      </c>
      <c r="M511" s="15">
        <f t="shared" si="183"/>
        <v>15000</v>
      </c>
      <c r="N511" s="15"/>
      <c r="O511" s="15"/>
      <c r="P511" s="15"/>
      <c r="Q511" s="15"/>
      <c r="R511" s="15"/>
      <c r="T511" s="15">
        <f t="shared" si="172"/>
        <v>9000</v>
      </c>
    </row>
    <row r="512" spans="2:20" x14ac:dyDescent="0.25">
      <c r="B512" s="97">
        <f t="shared" si="173"/>
        <v>88</v>
      </c>
      <c r="C512" s="9"/>
      <c r="D512" s="9"/>
      <c r="E512" s="9"/>
      <c r="F512" s="54" t="s">
        <v>409</v>
      </c>
      <c r="G512" s="126">
        <v>642</v>
      </c>
      <c r="H512" s="9" t="s">
        <v>316</v>
      </c>
      <c r="I512" s="10">
        <f>SUM(I513:I515)</f>
        <v>9000</v>
      </c>
      <c r="J512" s="10">
        <f>SUM(J513:J515)</f>
        <v>9000</v>
      </c>
      <c r="K512" s="10">
        <f t="shared" ref="K512:L512" si="184">SUM(K513:K515)</f>
        <v>9000</v>
      </c>
      <c r="L512" s="10">
        <f t="shared" si="184"/>
        <v>10000</v>
      </c>
      <c r="M512" s="10">
        <v>15000</v>
      </c>
      <c r="N512" s="10"/>
      <c r="O512" s="10"/>
      <c r="P512" s="10"/>
      <c r="Q512" s="10"/>
      <c r="R512" s="10"/>
      <c r="T512" s="10">
        <f t="shared" si="172"/>
        <v>9000</v>
      </c>
    </row>
    <row r="513" spans="2:20" x14ac:dyDescent="0.25">
      <c r="B513" s="97">
        <f t="shared" si="173"/>
        <v>89</v>
      </c>
      <c r="C513" s="12"/>
      <c r="D513" s="12"/>
      <c r="E513" s="12"/>
      <c r="F513" s="12"/>
      <c r="G513" s="127"/>
      <c r="H513" s="12" t="s">
        <v>410</v>
      </c>
      <c r="I513" s="13">
        <v>4000</v>
      </c>
      <c r="J513" s="13">
        <v>4000</v>
      </c>
      <c r="K513" s="13">
        <v>4000</v>
      </c>
      <c r="L513" s="13">
        <v>4000</v>
      </c>
      <c r="M513" s="13">
        <v>0</v>
      </c>
      <c r="N513" s="13"/>
      <c r="O513" s="13"/>
      <c r="P513" s="13"/>
      <c r="Q513" s="13"/>
      <c r="R513" s="13"/>
      <c r="T513" s="13">
        <f t="shared" si="172"/>
        <v>4000</v>
      </c>
    </row>
    <row r="514" spans="2:20" x14ac:dyDescent="0.25">
      <c r="B514" s="97">
        <f t="shared" si="173"/>
        <v>90</v>
      </c>
      <c r="C514" s="12"/>
      <c r="D514" s="12"/>
      <c r="E514" s="12"/>
      <c r="F514" s="12"/>
      <c r="G514" s="127"/>
      <c r="H514" s="12" t="s">
        <v>411</v>
      </c>
      <c r="I514" s="13">
        <v>4000</v>
      </c>
      <c r="J514" s="13">
        <v>4000</v>
      </c>
      <c r="K514" s="13">
        <v>4000</v>
      </c>
      <c r="L514" s="13">
        <v>5000</v>
      </c>
      <c r="M514" s="13">
        <v>0</v>
      </c>
      <c r="N514" s="13"/>
      <c r="O514" s="13"/>
      <c r="P514" s="13"/>
      <c r="Q514" s="13"/>
      <c r="R514" s="13"/>
      <c r="T514" s="13">
        <f t="shared" si="172"/>
        <v>4000</v>
      </c>
    </row>
    <row r="515" spans="2:20" x14ac:dyDescent="0.25">
      <c r="B515" s="97">
        <f t="shared" si="173"/>
        <v>91</v>
      </c>
      <c r="C515" s="12"/>
      <c r="D515" s="12"/>
      <c r="E515" s="12"/>
      <c r="F515" s="12"/>
      <c r="G515" s="127"/>
      <c r="H515" s="12" t="s">
        <v>412</v>
      </c>
      <c r="I515" s="13">
        <v>1000</v>
      </c>
      <c r="J515" s="13">
        <v>1000</v>
      </c>
      <c r="K515" s="13">
        <v>1000</v>
      </c>
      <c r="L515" s="13">
        <v>1000</v>
      </c>
      <c r="M515" s="13">
        <v>0</v>
      </c>
      <c r="N515" s="13"/>
      <c r="O515" s="13"/>
      <c r="P515" s="13"/>
      <c r="Q515" s="13"/>
      <c r="R515" s="13"/>
      <c r="T515" s="13">
        <f t="shared" si="172"/>
        <v>1000</v>
      </c>
    </row>
    <row r="516" spans="2:20" x14ac:dyDescent="0.25">
      <c r="B516" s="97">
        <f t="shared" si="173"/>
        <v>92</v>
      </c>
      <c r="C516" s="29"/>
      <c r="D516" s="29"/>
      <c r="E516" s="29"/>
      <c r="F516" s="53" t="s">
        <v>409</v>
      </c>
      <c r="G516" s="125">
        <v>710</v>
      </c>
      <c r="H516" s="29" t="s">
        <v>321</v>
      </c>
      <c r="I516" s="15"/>
      <c r="J516" s="15"/>
      <c r="K516" s="15"/>
      <c r="L516" s="15"/>
      <c r="M516" s="15"/>
      <c r="N516" s="15"/>
      <c r="O516" s="15">
        <f t="shared" ref="O516" si="185">O517</f>
        <v>700</v>
      </c>
      <c r="P516" s="15">
        <f>P517+P518</f>
        <v>1050</v>
      </c>
      <c r="Q516" s="15"/>
      <c r="R516" s="15"/>
      <c r="T516" s="15">
        <f t="shared" si="172"/>
        <v>0</v>
      </c>
    </row>
    <row r="517" spans="2:20" x14ac:dyDescent="0.25">
      <c r="B517" s="97">
        <f t="shared" si="173"/>
        <v>93</v>
      </c>
      <c r="C517" s="9"/>
      <c r="D517" s="9"/>
      <c r="E517" s="9"/>
      <c r="F517" s="54" t="s">
        <v>409</v>
      </c>
      <c r="G517" s="126">
        <v>716</v>
      </c>
      <c r="H517" s="9" t="s">
        <v>323</v>
      </c>
      <c r="I517" s="10"/>
      <c r="J517" s="10"/>
      <c r="K517" s="10"/>
      <c r="L517" s="10"/>
      <c r="M517" s="10"/>
      <c r="N517" s="10"/>
      <c r="O517" s="10">
        <v>700</v>
      </c>
      <c r="P517" s="10">
        <v>700</v>
      </c>
      <c r="Q517" s="10"/>
      <c r="R517" s="10"/>
      <c r="T517" s="10">
        <f t="shared" si="172"/>
        <v>0</v>
      </c>
    </row>
    <row r="518" spans="2:20" x14ac:dyDescent="0.25">
      <c r="B518" s="97">
        <f t="shared" si="173"/>
        <v>94</v>
      </c>
      <c r="C518" s="9"/>
      <c r="D518" s="9"/>
      <c r="E518" s="9"/>
      <c r="F518" s="54" t="s">
        <v>409</v>
      </c>
      <c r="G518" s="126">
        <v>717</v>
      </c>
      <c r="H518" s="9" t="s">
        <v>895</v>
      </c>
      <c r="I518" s="10"/>
      <c r="J518" s="10"/>
      <c r="K518" s="10"/>
      <c r="L518" s="10"/>
      <c r="M518" s="10"/>
      <c r="N518" s="10"/>
      <c r="O518" s="10"/>
      <c r="P518" s="10">
        <v>350</v>
      </c>
      <c r="Q518" s="10"/>
      <c r="R518" s="10"/>
      <c r="T518" s="10">
        <f t="shared" si="172"/>
        <v>0</v>
      </c>
    </row>
    <row r="519" spans="2:20" x14ac:dyDescent="0.25">
      <c r="B519" s="97">
        <f t="shared" si="173"/>
        <v>95</v>
      </c>
      <c r="C519" s="29"/>
      <c r="D519" s="29"/>
      <c r="E519" s="29"/>
      <c r="F519" s="53" t="s">
        <v>409</v>
      </c>
      <c r="G519" s="125">
        <v>720</v>
      </c>
      <c r="H519" s="29" t="s">
        <v>413</v>
      </c>
      <c r="I519" s="15"/>
      <c r="J519" s="15"/>
      <c r="K519" s="15"/>
      <c r="L519" s="15"/>
      <c r="M519" s="15"/>
      <c r="N519" s="15"/>
      <c r="O519" s="15"/>
      <c r="P519" s="15">
        <f t="shared" ref="P519" si="186">P520</f>
        <v>15000</v>
      </c>
      <c r="Q519" s="15"/>
      <c r="R519" s="15"/>
      <c r="T519" s="15">
        <f t="shared" si="172"/>
        <v>0</v>
      </c>
    </row>
    <row r="520" spans="2:20" x14ac:dyDescent="0.25">
      <c r="B520" s="97">
        <f t="shared" si="173"/>
        <v>96</v>
      </c>
      <c r="C520" s="9"/>
      <c r="D520" s="9"/>
      <c r="E520" s="9"/>
      <c r="F520" s="54" t="s">
        <v>409</v>
      </c>
      <c r="G520" s="126">
        <v>722</v>
      </c>
      <c r="H520" s="9" t="s">
        <v>316</v>
      </c>
      <c r="I520" s="10"/>
      <c r="J520" s="10"/>
      <c r="K520" s="10"/>
      <c r="L520" s="10"/>
      <c r="M520" s="10"/>
      <c r="N520" s="10"/>
      <c r="O520" s="10"/>
      <c r="P520" s="10">
        <v>15000</v>
      </c>
      <c r="Q520" s="10"/>
      <c r="R520" s="10"/>
      <c r="T520" s="10">
        <f t="shared" si="172"/>
        <v>0</v>
      </c>
    </row>
    <row r="548" spans="2:20" ht="27" x14ac:dyDescent="0.35">
      <c r="B548" s="310" t="s">
        <v>414</v>
      </c>
      <c r="C548" s="311"/>
      <c r="D548" s="311"/>
      <c r="E548" s="311"/>
      <c r="F548" s="311"/>
      <c r="G548" s="311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</row>
    <row r="549" spans="2:20" ht="15.75" customHeight="1" x14ac:dyDescent="0.25">
      <c r="B549" s="279" t="s">
        <v>286</v>
      </c>
      <c r="C549" s="280"/>
      <c r="D549" s="280"/>
      <c r="E549" s="280"/>
      <c r="F549" s="280"/>
      <c r="G549" s="280"/>
      <c r="H549" s="280"/>
      <c r="I549" s="280"/>
      <c r="J549" s="280"/>
      <c r="K549" s="280"/>
      <c r="L549" s="280"/>
      <c r="M549" s="280"/>
      <c r="N549" s="280"/>
      <c r="O549" s="280"/>
      <c r="P549" s="280"/>
      <c r="Q549" s="280"/>
      <c r="R549" s="281"/>
      <c r="T549" s="314" t="s">
        <v>937</v>
      </c>
    </row>
    <row r="550" spans="2:20" ht="12.75" customHeight="1" x14ac:dyDescent="0.25">
      <c r="B550" s="282"/>
      <c r="C550" s="285" t="s">
        <v>287</v>
      </c>
      <c r="D550" s="285" t="s">
        <v>288</v>
      </c>
      <c r="E550" s="285" t="s">
        <v>289</v>
      </c>
      <c r="F550" s="285" t="s">
        <v>290</v>
      </c>
      <c r="G550" s="303" t="s">
        <v>291</v>
      </c>
      <c r="H550" s="305" t="s">
        <v>292</v>
      </c>
      <c r="I550" s="308" t="s">
        <v>935</v>
      </c>
      <c r="J550" s="299" t="s">
        <v>293</v>
      </c>
      <c r="K550" s="299" t="s">
        <v>294</v>
      </c>
      <c r="L550" s="288" t="s">
        <v>295</v>
      </c>
      <c r="M550" s="288" t="s">
        <v>296</v>
      </c>
      <c r="N550" s="301" t="s">
        <v>936</v>
      </c>
      <c r="O550" s="297" t="s">
        <v>297</v>
      </c>
      <c r="P550" s="299" t="s">
        <v>772</v>
      </c>
      <c r="Q550" s="288" t="s">
        <v>298</v>
      </c>
      <c r="R550" s="288" t="s">
        <v>299</v>
      </c>
      <c r="T550" s="314"/>
    </row>
    <row r="551" spans="2:20" x14ac:dyDescent="0.25">
      <c r="B551" s="283"/>
      <c r="C551" s="286"/>
      <c r="D551" s="286"/>
      <c r="E551" s="286"/>
      <c r="F551" s="286"/>
      <c r="G551" s="303"/>
      <c r="H551" s="306"/>
      <c r="I551" s="308"/>
      <c r="J551" s="299"/>
      <c r="K551" s="299"/>
      <c r="L551" s="288"/>
      <c r="M551" s="288"/>
      <c r="N551" s="301"/>
      <c r="O551" s="297"/>
      <c r="P551" s="299"/>
      <c r="Q551" s="288"/>
      <c r="R551" s="288"/>
      <c r="T551" s="314"/>
    </row>
    <row r="552" spans="2:20" x14ac:dyDescent="0.25">
      <c r="B552" s="283"/>
      <c r="C552" s="286"/>
      <c r="D552" s="286"/>
      <c r="E552" s="286"/>
      <c r="F552" s="286"/>
      <c r="G552" s="303"/>
      <c r="H552" s="306"/>
      <c r="I552" s="308"/>
      <c r="J552" s="299"/>
      <c r="K552" s="299"/>
      <c r="L552" s="288"/>
      <c r="M552" s="288"/>
      <c r="N552" s="301"/>
      <c r="O552" s="297"/>
      <c r="P552" s="299"/>
      <c r="Q552" s="288"/>
      <c r="R552" s="288"/>
      <c r="T552" s="314"/>
    </row>
    <row r="553" spans="2:20" ht="15.75" thickBot="1" x14ac:dyDescent="0.3">
      <c r="B553" s="284"/>
      <c r="C553" s="287"/>
      <c r="D553" s="287"/>
      <c r="E553" s="287"/>
      <c r="F553" s="287"/>
      <c r="G553" s="304"/>
      <c r="H553" s="307"/>
      <c r="I553" s="309"/>
      <c r="J553" s="300"/>
      <c r="K553" s="300"/>
      <c r="L553" s="289"/>
      <c r="M553" s="289"/>
      <c r="N553" s="302"/>
      <c r="O553" s="298"/>
      <c r="P553" s="300"/>
      <c r="Q553" s="289"/>
      <c r="R553" s="289"/>
      <c r="T553" s="314"/>
    </row>
    <row r="554" spans="2:20" ht="16.5" thickTop="1" x14ac:dyDescent="0.25">
      <c r="B554" s="98">
        <v>1</v>
      </c>
      <c r="C554" s="290" t="s">
        <v>414</v>
      </c>
      <c r="D554" s="291"/>
      <c r="E554" s="291"/>
      <c r="F554" s="291"/>
      <c r="G554" s="291"/>
      <c r="H554" s="292"/>
      <c r="I554" s="44">
        <f>I555+I561</f>
        <v>4143133</v>
      </c>
      <c r="J554" s="44">
        <f>J595+J561+J555</f>
        <v>2844700</v>
      </c>
      <c r="K554" s="44">
        <f>K595+K561+K555</f>
        <v>3252631</v>
      </c>
      <c r="L554" s="44">
        <f>L595+L561+L555</f>
        <v>3338828</v>
      </c>
      <c r="M554" s="44">
        <f>M595+M561+M555</f>
        <v>3322960</v>
      </c>
      <c r="N554" s="44">
        <f>N561+N595</f>
        <v>5637217</v>
      </c>
      <c r="O554" s="44">
        <f>O595+O561+O555</f>
        <v>1663237</v>
      </c>
      <c r="P554" s="44">
        <f>P595+P561+P555</f>
        <v>3495856</v>
      </c>
      <c r="Q554" s="44">
        <f>Q595+Q561+Q555</f>
        <v>453362.23</v>
      </c>
      <c r="R554" s="44">
        <f>R595+R561+R555</f>
        <v>946935.44</v>
      </c>
      <c r="T554" s="44">
        <f>N554+I554</f>
        <v>9780350</v>
      </c>
    </row>
    <row r="555" spans="2:20" ht="15.75" x14ac:dyDescent="0.25">
      <c r="B555" s="97">
        <f>B554+1</f>
        <v>2</v>
      </c>
      <c r="C555" s="45">
        <v>1</v>
      </c>
      <c r="D555" s="293" t="s">
        <v>415</v>
      </c>
      <c r="E555" s="294"/>
      <c r="F555" s="294"/>
      <c r="G555" s="294"/>
      <c r="H555" s="295"/>
      <c r="I555" s="46">
        <f>I559</f>
        <v>2174840</v>
      </c>
      <c r="J555" s="46">
        <f t="shared" ref="J555:M559" si="187">J556</f>
        <v>1905000</v>
      </c>
      <c r="K555" s="46">
        <f t="shared" si="187"/>
        <v>2010541</v>
      </c>
      <c r="L555" s="46">
        <f t="shared" si="187"/>
        <v>2599694</v>
      </c>
      <c r="M555" s="46">
        <f t="shared" si="187"/>
        <v>2270576</v>
      </c>
      <c r="N555" s="46">
        <v>0</v>
      </c>
      <c r="O555" s="46">
        <f t="shared" ref="O555:R558" si="188">O556</f>
        <v>0</v>
      </c>
      <c r="P555" s="46">
        <f t="shared" si="188"/>
        <v>0</v>
      </c>
      <c r="Q555" s="46">
        <f t="shared" si="188"/>
        <v>0</v>
      </c>
      <c r="R555" s="46">
        <f t="shared" si="188"/>
        <v>0</v>
      </c>
      <c r="T555" s="46">
        <f t="shared" ref="T555:T620" si="189">N555+I555</f>
        <v>2174840</v>
      </c>
    </row>
    <row r="556" spans="2:20" hidden="1" x14ac:dyDescent="0.25">
      <c r="B556" s="97">
        <f t="shared" ref="B556:B585" si="190">B555+1</f>
        <v>3</v>
      </c>
      <c r="C556" s="47"/>
      <c r="D556" s="47" t="s">
        <v>60</v>
      </c>
      <c r="E556" s="296"/>
      <c r="F556" s="294"/>
      <c r="G556" s="294"/>
      <c r="H556" s="295"/>
      <c r="I556" s="48" t="e">
        <f>#REF!+#REF!</f>
        <v>#REF!</v>
      </c>
      <c r="J556" s="48">
        <f t="shared" si="187"/>
        <v>1905000</v>
      </c>
      <c r="K556" s="48">
        <f t="shared" si="187"/>
        <v>2010541</v>
      </c>
      <c r="L556" s="48">
        <f t="shared" si="187"/>
        <v>2599694</v>
      </c>
      <c r="M556" s="48">
        <f t="shared" si="187"/>
        <v>2270576</v>
      </c>
      <c r="N556" s="48" t="e">
        <f>#REF!+#REF!</f>
        <v>#REF!</v>
      </c>
      <c r="O556" s="48">
        <f t="shared" si="188"/>
        <v>0</v>
      </c>
      <c r="P556" s="48">
        <f t="shared" si="188"/>
        <v>0</v>
      </c>
      <c r="Q556" s="48">
        <f t="shared" si="188"/>
        <v>0</v>
      </c>
      <c r="R556" s="48">
        <f t="shared" si="188"/>
        <v>0</v>
      </c>
      <c r="T556" s="48" t="e">
        <f t="shared" si="189"/>
        <v>#REF!</v>
      </c>
    </row>
    <row r="557" spans="2:20" hidden="1" x14ac:dyDescent="0.25">
      <c r="B557" s="97">
        <f t="shared" si="190"/>
        <v>4</v>
      </c>
      <c r="C557" s="49"/>
      <c r="D557" s="49"/>
      <c r="E557" s="49"/>
      <c r="F557" s="49"/>
      <c r="G557" s="123"/>
      <c r="H557" s="49" t="s">
        <v>12</v>
      </c>
      <c r="I557" s="50" t="e">
        <f>#REF!+#REF!</f>
        <v>#REF!</v>
      </c>
      <c r="J557" s="50">
        <f t="shared" si="187"/>
        <v>1905000</v>
      </c>
      <c r="K557" s="50">
        <f t="shared" si="187"/>
        <v>2010541</v>
      </c>
      <c r="L557" s="50">
        <f t="shared" si="187"/>
        <v>2599694</v>
      </c>
      <c r="M557" s="50">
        <f t="shared" si="187"/>
        <v>2270576</v>
      </c>
      <c r="N557" s="50" t="e">
        <f>#REF!+#REF!</f>
        <v>#REF!</v>
      </c>
      <c r="O557" s="50">
        <f t="shared" si="188"/>
        <v>0</v>
      </c>
      <c r="P557" s="50">
        <f t="shared" si="188"/>
        <v>0</v>
      </c>
      <c r="Q557" s="50">
        <f t="shared" si="188"/>
        <v>0</v>
      </c>
      <c r="R557" s="50">
        <f t="shared" si="188"/>
        <v>0</v>
      </c>
      <c r="T557" s="50" t="e">
        <f t="shared" si="189"/>
        <v>#REF!</v>
      </c>
    </row>
    <row r="558" spans="2:20" hidden="1" x14ac:dyDescent="0.25">
      <c r="B558" s="97">
        <f t="shared" si="190"/>
        <v>5</v>
      </c>
      <c r="C558" s="51"/>
      <c r="D558" s="51"/>
      <c r="E558" s="51" t="s">
        <v>60</v>
      </c>
      <c r="F558" s="51"/>
      <c r="G558" s="124"/>
      <c r="H558" s="51"/>
      <c r="I558" s="52" t="e">
        <f>#REF!+#REF!</f>
        <v>#REF!</v>
      </c>
      <c r="J558" s="52">
        <f t="shared" si="187"/>
        <v>1905000</v>
      </c>
      <c r="K558" s="52">
        <f t="shared" si="187"/>
        <v>2010541</v>
      </c>
      <c r="L558" s="52">
        <f t="shared" si="187"/>
        <v>2599694</v>
      </c>
      <c r="M558" s="52">
        <f t="shared" si="187"/>
        <v>2270576</v>
      </c>
      <c r="N558" s="52" t="e">
        <f>#REF!+#REF!</f>
        <v>#REF!</v>
      </c>
      <c r="O558" s="52">
        <f t="shared" si="188"/>
        <v>0</v>
      </c>
      <c r="P558" s="52">
        <f t="shared" si="188"/>
        <v>0</v>
      </c>
      <c r="Q558" s="52">
        <f t="shared" si="188"/>
        <v>0</v>
      </c>
      <c r="R558" s="52">
        <f t="shared" si="188"/>
        <v>0</v>
      </c>
      <c r="T558" s="52" t="e">
        <f t="shared" si="189"/>
        <v>#REF!</v>
      </c>
    </row>
    <row r="559" spans="2:20" x14ac:dyDescent="0.25">
      <c r="B559" s="97">
        <f t="shared" si="190"/>
        <v>6</v>
      </c>
      <c r="C559" s="29"/>
      <c r="D559" s="29"/>
      <c r="E559" s="29"/>
      <c r="F559" s="53" t="s">
        <v>377</v>
      </c>
      <c r="G559" s="125">
        <v>630</v>
      </c>
      <c r="H559" s="29" t="s">
        <v>303</v>
      </c>
      <c r="I559" s="15">
        <f>I560</f>
        <v>2174840</v>
      </c>
      <c r="J559" s="15">
        <f t="shared" si="187"/>
        <v>1905000</v>
      </c>
      <c r="K559" s="15">
        <f t="shared" si="187"/>
        <v>2010541</v>
      </c>
      <c r="L559" s="15">
        <f t="shared" si="187"/>
        <v>2599694</v>
      </c>
      <c r="M559" s="15">
        <f t="shared" si="187"/>
        <v>2270576</v>
      </c>
      <c r="N559" s="15"/>
      <c r="O559" s="15"/>
      <c r="P559" s="15"/>
      <c r="Q559" s="15"/>
      <c r="R559" s="15"/>
      <c r="T559" s="15">
        <f t="shared" si="189"/>
        <v>2174840</v>
      </c>
    </row>
    <row r="560" spans="2:20" x14ac:dyDescent="0.25">
      <c r="B560" s="97">
        <f t="shared" si="190"/>
        <v>7</v>
      </c>
      <c r="C560" s="9"/>
      <c r="D560" s="9"/>
      <c r="E560" s="9"/>
      <c r="F560" s="54" t="s">
        <v>377</v>
      </c>
      <c r="G560" s="126">
        <v>637</v>
      </c>
      <c r="H560" s="9" t="s">
        <v>308</v>
      </c>
      <c r="I560" s="10">
        <v>2174840</v>
      </c>
      <c r="J560" s="10">
        <v>1905000</v>
      </c>
      <c r="K560" s="10">
        <v>2010541</v>
      </c>
      <c r="L560" s="10">
        <v>2599694</v>
      </c>
      <c r="M560" s="10">
        <v>2270576</v>
      </c>
      <c r="N560" s="10"/>
      <c r="O560" s="10"/>
      <c r="P560" s="10"/>
      <c r="Q560" s="10"/>
      <c r="R560" s="10"/>
      <c r="T560" s="10">
        <f t="shared" si="189"/>
        <v>2174840</v>
      </c>
    </row>
    <row r="561" spans="2:20" ht="14.25" customHeight="1" x14ac:dyDescent="0.25">
      <c r="B561" s="97">
        <f t="shared" si="190"/>
        <v>8</v>
      </c>
      <c r="C561" s="45">
        <v>2</v>
      </c>
      <c r="D561" s="293" t="s">
        <v>416</v>
      </c>
      <c r="E561" s="294"/>
      <c r="F561" s="294"/>
      <c r="G561" s="294"/>
      <c r="H561" s="295"/>
      <c r="I561" s="46">
        <f t="shared" ref="I561:R561" si="191">I565+I578+I579+I583</f>
        <v>1968293</v>
      </c>
      <c r="J561" s="46">
        <f t="shared" si="191"/>
        <v>939700</v>
      </c>
      <c r="K561" s="46">
        <f t="shared" si="191"/>
        <v>1242090</v>
      </c>
      <c r="L561" s="46">
        <f t="shared" si="191"/>
        <v>739134</v>
      </c>
      <c r="M561" s="46">
        <f t="shared" si="191"/>
        <v>1052384</v>
      </c>
      <c r="N561" s="46">
        <f t="shared" si="191"/>
        <v>127339</v>
      </c>
      <c r="O561" s="46">
        <f t="shared" si="191"/>
        <v>105000</v>
      </c>
      <c r="P561" s="46">
        <f t="shared" si="191"/>
        <v>189339</v>
      </c>
      <c r="Q561" s="46">
        <f t="shared" si="191"/>
        <v>85908</v>
      </c>
      <c r="R561" s="46">
        <f t="shared" si="191"/>
        <v>0</v>
      </c>
      <c r="T561" s="46">
        <f t="shared" si="189"/>
        <v>2095632</v>
      </c>
    </row>
    <row r="562" spans="2:20" hidden="1" x14ac:dyDescent="0.25">
      <c r="B562" s="97">
        <f t="shared" si="190"/>
        <v>9</v>
      </c>
      <c r="C562" s="47"/>
      <c r="D562" s="47" t="s">
        <v>60</v>
      </c>
      <c r="E562" s="296"/>
      <c r="F562" s="294"/>
      <c r="G562" s="294"/>
      <c r="H562" s="295"/>
      <c r="I562" s="48" t="e">
        <f>#REF!+#REF!</f>
        <v>#REF!</v>
      </c>
      <c r="J562" s="48" t="e">
        <f>J583+J563</f>
        <v>#REF!</v>
      </c>
      <c r="K562" s="48" t="e">
        <f>K583+K563</f>
        <v>#REF!</v>
      </c>
      <c r="L562" s="48" t="e">
        <f>L583+L563</f>
        <v>#REF!</v>
      </c>
      <c r="M562" s="48" t="e">
        <f>M583+M563</f>
        <v>#REF!</v>
      </c>
      <c r="N562" s="48" t="e">
        <f>#REF!+#REF!</f>
        <v>#REF!</v>
      </c>
      <c r="O562" s="48" t="e">
        <f>O583+O563</f>
        <v>#REF!</v>
      </c>
      <c r="P562" s="48" t="e">
        <f>P583+P563</f>
        <v>#REF!</v>
      </c>
      <c r="Q562" s="48" t="e">
        <f>Q583+Q563</f>
        <v>#REF!</v>
      </c>
      <c r="R562" s="48" t="e">
        <f>R583+R563</f>
        <v>#REF!</v>
      </c>
      <c r="T562" s="48" t="e">
        <f t="shared" si="189"/>
        <v>#REF!</v>
      </c>
    </row>
    <row r="563" spans="2:20" hidden="1" x14ac:dyDescent="0.25">
      <c r="B563" s="97">
        <f t="shared" si="190"/>
        <v>10</v>
      </c>
      <c r="C563" s="49"/>
      <c r="D563" s="49"/>
      <c r="E563" s="49"/>
      <c r="F563" s="49"/>
      <c r="G563" s="123"/>
      <c r="H563" s="49" t="s">
        <v>12</v>
      </c>
      <c r="I563" s="50" t="e">
        <f>#REF!+#REF!</f>
        <v>#REF!</v>
      </c>
      <c r="J563" s="50" t="e">
        <f t="shared" ref="J563:R563" si="192">J564</f>
        <v>#REF!</v>
      </c>
      <c r="K563" s="50" t="e">
        <f t="shared" si="192"/>
        <v>#REF!</v>
      </c>
      <c r="L563" s="50" t="e">
        <f t="shared" si="192"/>
        <v>#REF!</v>
      </c>
      <c r="M563" s="50" t="e">
        <f t="shared" si="192"/>
        <v>#REF!</v>
      </c>
      <c r="N563" s="50" t="e">
        <f>#REF!+#REF!</f>
        <v>#REF!</v>
      </c>
      <c r="O563" s="50" t="e">
        <f t="shared" si="192"/>
        <v>#REF!</v>
      </c>
      <c r="P563" s="50" t="e">
        <f t="shared" si="192"/>
        <v>#REF!</v>
      </c>
      <c r="Q563" s="50" t="e">
        <f t="shared" si="192"/>
        <v>#REF!</v>
      </c>
      <c r="R563" s="50" t="e">
        <f t="shared" si="192"/>
        <v>#REF!</v>
      </c>
      <c r="T563" s="50" t="e">
        <f t="shared" si="189"/>
        <v>#REF!</v>
      </c>
    </row>
    <row r="564" spans="2:20" ht="14.25" hidden="1" customHeight="1" x14ac:dyDescent="0.25">
      <c r="B564" s="97">
        <f t="shared" si="190"/>
        <v>11</v>
      </c>
      <c r="C564" s="51"/>
      <c r="D564" s="51"/>
      <c r="E564" s="51" t="s">
        <v>60</v>
      </c>
      <c r="F564" s="51"/>
      <c r="G564" s="124"/>
      <c r="H564" s="51"/>
      <c r="I564" s="52" t="e">
        <f>I565+I578+#REF!</f>
        <v>#REF!</v>
      </c>
      <c r="J564" s="52" t="e">
        <f>J579+#REF!+J565</f>
        <v>#REF!</v>
      </c>
      <c r="K564" s="52" t="e">
        <f>K579+#REF!+K565+K578</f>
        <v>#REF!</v>
      </c>
      <c r="L564" s="52" t="e">
        <f>L579+#REF!+L565</f>
        <v>#REF!</v>
      </c>
      <c r="M564" s="52" t="e">
        <f>M579+#REF!+M565</f>
        <v>#REF!</v>
      </c>
      <c r="N564" s="52">
        <f>N579</f>
        <v>127339</v>
      </c>
      <c r="O564" s="52" t="e">
        <f>O579+#REF!+O565</f>
        <v>#REF!</v>
      </c>
      <c r="P564" s="52" t="e">
        <f>P579+#REF!+P565</f>
        <v>#REF!</v>
      </c>
      <c r="Q564" s="52" t="e">
        <f>Q579+#REF!+Q565</f>
        <v>#REF!</v>
      </c>
      <c r="R564" s="52" t="e">
        <f>R579+#REF!+R565</f>
        <v>#REF!</v>
      </c>
      <c r="T564" s="52" t="e">
        <f t="shared" si="189"/>
        <v>#REF!</v>
      </c>
    </row>
    <row r="565" spans="2:20" x14ac:dyDescent="0.25">
      <c r="B565" s="97">
        <f t="shared" si="190"/>
        <v>12</v>
      </c>
      <c r="C565" s="29"/>
      <c r="D565" s="29"/>
      <c r="E565" s="29"/>
      <c r="F565" s="53" t="s">
        <v>377</v>
      </c>
      <c r="G565" s="125">
        <v>630</v>
      </c>
      <c r="H565" s="29" t="s">
        <v>303</v>
      </c>
      <c r="I565" s="15">
        <f>SUM(I566:I577)</f>
        <v>1819085</v>
      </c>
      <c r="J565" s="15">
        <f>J573+J566+J572</f>
        <v>852000</v>
      </c>
      <c r="K565" s="15">
        <f>SUM(K566:K574)</f>
        <v>1142740</v>
      </c>
      <c r="L565" s="15">
        <f>L573+L566+L572</f>
        <v>705359</v>
      </c>
      <c r="M565" s="15">
        <f>M573+M566+M572</f>
        <v>1042628</v>
      </c>
      <c r="N565" s="15"/>
      <c r="O565" s="15"/>
      <c r="P565" s="15"/>
      <c r="Q565" s="15"/>
      <c r="R565" s="15"/>
      <c r="T565" s="15">
        <f t="shared" si="189"/>
        <v>1819085</v>
      </c>
    </row>
    <row r="566" spans="2:20" x14ac:dyDescent="0.25">
      <c r="B566" s="97">
        <f t="shared" si="190"/>
        <v>13</v>
      </c>
      <c r="C566" s="9"/>
      <c r="D566" s="9"/>
      <c r="E566" s="9"/>
      <c r="F566" s="54" t="s">
        <v>377</v>
      </c>
      <c r="G566" s="126">
        <v>635</v>
      </c>
      <c r="H566" s="9" t="s">
        <v>320</v>
      </c>
      <c r="I566" s="16">
        <f>240000+80000+200000+90000+472000+250000</f>
        <v>1332000</v>
      </c>
      <c r="J566" s="10">
        <v>850000</v>
      </c>
      <c r="K566" s="10">
        <f>1110340+700</f>
        <v>1111040</v>
      </c>
      <c r="L566" s="10">
        <f>628299+64899+11996</f>
        <v>705194</v>
      </c>
      <c r="M566" s="10">
        <f>771735+70443+200199</f>
        <v>1042377</v>
      </c>
      <c r="N566" s="10"/>
      <c r="O566" s="10"/>
      <c r="P566" s="10"/>
      <c r="Q566" s="10"/>
      <c r="R566" s="10"/>
      <c r="T566" s="10">
        <f t="shared" si="189"/>
        <v>1332000</v>
      </c>
    </row>
    <row r="567" spans="2:20" x14ac:dyDescent="0.25">
      <c r="B567" s="97">
        <f t="shared" si="190"/>
        <v>14</v>
      </c>
      <c r="C567" s="9"/>
      <c r="D567" s="9"/>
      <c r="E567" s="9"/>
      <c r="F567" s="54" t="s">
        <v>377</v>
      </c>
      <c r="G567" s="126">
        <v>637</v>
      </c>
      <c r="H567" s="9" t="s">
        <v>308</v>
      </c>
      <c r="I567" s="16">
        <v>2000</v>
      </c>
      <c r="J567" s="10"/>
      <c r="K567" s="10"/>
      <c r="L567" s="10"/>
      <c r="M567" s="10"/>
      <c r="N567" s="10"/>
      <c r="O567" s="10"/>
      <c r="P567" s="10"/>
      <c r="Q567" s="10"/>
      <c r="R567" s="10"/>
      <c r="T567" s="10">
        <f t="shared" si="189"/>
        <v>2000</v>
      </c>
    </row>
    <row r="568" spans="2:20" x14ac:dyDescent="0.25">
      <c r="B568" s="97">
        <f t="shared" si="190"/>
        <v>15</v>
      </c>
      <c r="C568" s="9"/>
      <c r="D568" s="9"/>
      <c r="E568" s="9"/>
      <c r="F568" s="54" t="s">
        <v>377</v>
      </c>
      <c r="G568" s="126">
        <v>635</v>
      </c>
      <c r="H568" s="9" t="s">
        <v>891</v>
      </c>
      <c r="I568" s="16">
        <v>10000</v>
      </c>
      <c r="J568" s="10"/>
      <c r="K568" s="10"/>
      <c r="L568" s="10"/>
      <c r="M568" s="10"/>
      <c r="N568" s="10"/>
      <c r="O568" s="10"/>
      <c r="P568" s="10"/>
      <c r="Q568" s="10"/>
      <c r="R568" s="10"/>
      <c r="T568" s="10">
        <f t="shared" si="189"/>
        <v>10000</v>
      </c>
    </row>
    <row r="569" spans="2:20" x14ac:dyDescent="0.25">
      <c r="B569" s="97">
        <f t="shared" si="190"/>
        <v>16</v>
      </c>
      <c r="C569" s="9"/>
      <c r="D569" s="9"/>
      <c r="E569" s="9"/>
      <c r="F569" s="54" t="s">
        <v>377</v>
      </c>
      <c r="G569" s="126">
        <v>635</v>
      </c>
      <c r="H569" s="9" t="s">
        <v>908</v>
      </c>
      <c r="I569" s="16">
        <v>94265</v>
      </c>
      <c r="J569" s="10"/>
      <c r="K569" s="10"/>
      <c r="L569" s="10"/>
      <c r="M569" s="10"/>
      <c r="N569" s="10"/>
      <c r="O569" s="10"/>
      <c r="P569" s="10"/>
      <c r="Q569" s="10"/>
      <c r="R569" s="10"/>
      <c r="T569" s="10">
        <f t="shared" si="189"/>
        <v>94265</v>
      </c>
    </row>
    <row r="570" spans="2:20" x14ac:dyDescent="0.25">
      <c r="B570" s="97">
        <f t="shared" si="190"/>
        <v>17</v>
      </c>
      <c r="C570" s="9"/>
      <c r="D570" s="9"/>
      <c r="E570" s="9"/>
      <c r="F570" s="54" t="s">
        <v>377</v>
      </c>
      <c r="G570" s="126">
        <v>632</v>
      </c>
      <c r="H570" s="9" t="s">
        <v>903</v>
      </c>
      <c r="I570" s="16">
        <f>80000+5000</f>
        <v>85000</v>
      </c>
      <c r="J570" s="10"/>
      <c r="K570" s="10">
        <v>20850</v>
      </c>
      <c r="L570" s="10"/>
      <c r="M570" s="10"/>
      <c r="N570" s="10"/>
      <c r="O570" s="10"/>
      <c r="P570" s="10"/>
      <c r="Q570" s="10"/>
      <c r="R570" s="10"/>
      <c r="T570" s="10">
        <f t="shared" si="189"/>
        <v>85000</v>
      </c>
    </row>
    <row r="571" spans="2:20" x14ac:dyDescent="0.25">
      <c r="B571" s="97">
        <f t="shared" si="190"/>
        <v>18</v>
      </c>
      <c r="C571" s="9"/>
      <c r="D571" s="9"/>
      <c r="E571" s="9"/>
      <c r="F571" s="54" t="s">
        <v>377</v>
      </c>
      <c r="G571" s="126">
        <v>633</v>
      </c>
      <c r="H571" s="9" t="s">
        <v>906</v>
      </c>
      <c r="I571" s="16">
        <v>2000</v>
      </c>
      <c r="J571" s="10"/>
      <c r="K571" s="10"/>
      <c r="L571" s="10"/>
      <c r="M571" s="10"/>
      <c r="N571" s="10"/>
      <c r="O571" s="10"/>
      <c r="P571" s="10"/>
      <c r="Q571" s="10"/>
      <c r="R571" s="10"/>
      <c r="T571" s="10">
        <f t="shared" si="189"/>
        <v>2000</v>
      </c>
    </row>
    <row r="572" spans="2:20" x14ac:dyDescent="0.25">
      <c r="B572" s="97">
        <f t="shared" si="190"/>
        <v>19</v>
      </c>
      <c r="C572" s="9"/>
      <c r="D572" s="9"/>
      <c r="E572" s="9"/>
      <c r="F572" s="54" t="s">
        <v>377</v>
      </c>
      <c r="G572" s="126">
        <v>635</v>
      </c>
      <c r="H572" s="9" t="s">
        <v>901</v>
      </c>
      <c r="I572" s="16">
        <v>30000</v>
      </c>
      <c r="J572" s="10"/>
      <c r="K572" s="10">
        <v>6400</v>
      </c>
      <c r="L572" s="10"/>
      <c r="M572" s="10"/>
      <c r="N572" s="10"/>
      <c r="O572" s="10"/>
      <c r="P572" s="10"/>
      <c r="Q572" s="10"/>
      <c r="R572" s="10"/>
      <c r="T572" s="10">
        <f t="shared" si="189"/>
        <v>30000</v>
      </c>
    </row>
    <row r="573" spans="2:20" x14ac:dyDescent="0.25">
      <c r="B573" s="97">
        <f t="shared" si="190"/>
        <v>20</v>
      </c>
      <c r="C573" s="9"/>
      <c r="D573" s="9"/>
      <c r="E573" s="9"/>
      <c r="F573" s="54" t="s">
        <v>377</v>
      </c>
      <c r="G573" s="126">
        <v>635</v>
      </c>
      <c r="H573" s="9" t="s">
        <v>909</v>
      </c>
      <c r="I573" s="16">
        <v>130000</v>
      </c>
      <c r="J573" s="10">
        <v>2000</v>
      </c>
      <c r="K573" s="10">
        <v>4450</v>
      </c>
      <c r="L573" s="10">
        <v>165</v>
      </c>
      <c r="M573" s="10">
        <v>251</v>
      </c>
      <c r="N573" s="10"/>
      <c r="O573" s="10"/>
      <c r="P573" s="10"/>
      <c r="Q573" s="10"/>
      <c r="R573" s="10"/>
      <c r="T573" s="10">
        <f t="shared" si="189"/>
        <v>130000</v>
      </c>
    </row>
    <row r="574" spans="2:20" x14ac:dyDescent="0.25">
      <c r="B574" s="97">
        <f t="shared" si="190"/>
        <v>21</v>
      </c>
      <c r="C574" s="9"/>
      <c r="D574" s="9"/>
      <c r="E574" s="9"/>
      <c r="F574" s="54" t="s">
        <v>377</v>
      </c>
      <c r="G574" s="126">
        <v>635</v>
      </c>
      <c r="H574" s="9" t="s">
        <v>902</v>
      </c>
      <c r="I574" s="16">
        <v>60000</v>
      </c>
      <c r="J574" s="10"/>
      <c r="K574" s="10"/>
      <c r="L574" s="10"/>
      <c r="M574" s="10"/>
      <c r="N574" s="10"/>
      <c r="O574" s="10"/>
      <c r="P574" s="10"/>
      <c r="Q574" s="10"/>
      <c r="R574" s="10"/>
      <c r="T574" s="10">
        <f t="shared" si="189"/>
        <v>60000</v>
      </c>
    </row>
    <row r="575" spans="2:20" x14ac:dyDescent="0.25">
      <c r="B575" s="97">
        <f t="shared" si="190"/>
        <v>22</v>
      </c>
      <c r="C575" s="9"/>
      <c r="D575" s="9"/>
      <c r="E575" s="9"/>
      <c r="F575" s="54" t="s">
        <v>377</v>
      </c>
      <c r="G575" s="126">
        <v>636</v>
      </c>
      <c r="H575" s="9" t="s">
        <v>904</v>
      </c>
      <c r="I575" s="16">
        <f>30900+12360</f>
        <v>43260</v>
      </c>
      <c r="J575" s="10"/>
      <c r="K575" s="10"/>
      <c r="L575" s="10"/>
      <c r="M575" s="10"/>
      <c r="N575" s="10"/>
      <c r="O575" s="10"/>
      <c r="P575" s="10"/>
      <c r="Q575" s="10"/>
      <c r="R575" s="10"/>
      <c r="T575" s="10">
        <f t="shared" si="189"/>
        <v>43260</v>
      </c>
    </row>
    <row r="576" spans="2:20" x14ac:dyDescent="0.25">
      <c r="B576" s="97">
        <f t="shared" si="190"/>
        <v>23</v>
      </c>
      <c r="C576" s="9"/>
      <c r="D576" s="9"/>
      <c r="E576" s="9"/>
      <c r="F576" s="54" t="s">
        <v>377</v>
      </c>
      <c r="G576" s="126">
        <v>637</v>
      </c>
      <c r="H576" s="9" t="s">
        <v>905</v>
      </c>
      <c r="I576" s="16">
        <f>22756+5100+4</f>
        <v>27860</v>
      </c>
      <c r="J576" s="10"/>
      <c r="K576" s="10"/>
      <c r="L576" s="10"/>
      <c r="M576" s="10"/>
      <c r="N576" s="10"/>
      <c r="O576" s="10"/>
      <c r="P576" s="10"/>
      <c r="Q576" s="10"/>
      <c r="R576" s="10"/>
      <c r="T576" s="10">
        <f t="shared" si="189"/>
        <v>27860</v>
      </c>
    </row>
    <row r="577" spans="2:20" x14ac:dyDescent="0.25">
      <c r="B577" s="97">
        <f t="shared" si="190"/>
        <v>24</v>
      </c>
      <c r="C577" s="9"/>
      <c r="D577" s="9"/>
      <c r="E577" s="9"/>
      <c r="F577" s="54" t="s">
        <v>377</v>
      </c>
      <c r="G577" s="126">
        <v>637</v>
      </c>
      <c r="H577" s="9" t="s">
        <v>945</v>
      </c>
      <c r="I577" s="16">
        <v>2700</v>
      </c>
      <c r="J577" s="10"/>
      <c r="K577" s="10"/>
      <c r="L577" s="10"/>
      <c r="M577" s="10"/>
      <c r="N577" s="10"/>
      <c r="O577" s="10"/>
      <c r="P577" s="10"/>
      <c r="Q577" s="10"/>
      <c r="R577" s="10"/>
      <c r="T577" s="10"/>
    </row>
    <row r="578" spans="2:20" x14ac:dyDescent="0.25">
      <c r="B578" s="97">
        <f t="shared" si="190"/>
        <v>25</v>
      </c>
      <c r="C578" s="9"/>
      <c r="D578" s="9"/>
      <c r="E578" s="9"/>
      <c r="F578" s="60" t="s">
        <v>377</v>
      </c>
      <c r="G578" s="129">
        <v>630</v>
      </c>
      <c r="H578" s="7" t="s">
        <v>418</v>
      </c>
      <c r="I578" s="8">
        <v>0</v>
      </c>
      <c r="J578" s="8"/>
      <c r="K578" s="8">
        <v>400</v>
      </c>
      <c r="L578" s="10"/>
      <c r="M578" s="10"/>
      <c r="N578" s="10"/>
      <c r="O578" s="10"/>
      <c r="P578" s="10"/>
      <c r="Q578" s="10"/>
      <c r="R578" s="10"/>
      <c r="T578" s="10">
        <f t="shared" si="189"/>
        <v>0</v>
      </c>
    </row>
    <row r="579" spans="2:20" x14ac:dyDescent="0.25">
      <c r="B579" s="97">
        <f t="shared" si="190"/>
        <v>26</v>
      </c>
      <c r="C579" s="29"/>
      <c r="D579" s="29"/>
      <c r="E579" s="29"/>
      <c r="F579" s="53" t="s">
        <v>377</v>
      </c>
      <c r="G579" s="125">
        <v>710</v>
      </c>
      <c r="H579" s="29" t="s">
        <v>321</v>
      </c>
      <c r="I579" s="15"/>
      <c r="J579" s="15"/>
      <c r="K579" s="15"/>
      <c r="L579" s="15"/>
      <c r="M579" s="15"/>
      <c r="N579" s="15">
        <f>N580+N581</f>
        <v>127339</v>
      </c>
      <c r="O579" s="15">
        <f t="shared" ref="O579:Q579" si="193">O582</f>
        <v>105000</v>
      </c>
      <c r="P579" s="15">
        <f>P582+P580</f>
        <v>189339</v>
      </c>
      <c r="Q579" s="15">
        <f t="shared" si="193"/>
        <v>85908</v>
      </c>
      <c r="R579" s="15"/>
      <c r="T579" s="15">
        <f t="shared" si="189"/>
        <v>127339</v>
      </c>
    </row>
    <row r="580" spans="2:20" s="104" customFormat="1" x14ac:dyDescent="0.25">
      <c r="B580" s="97">
        <f t="shared" si="190"/>
        <v>27</v>
      </c>
      <c r="C580" s="141"/>
      <c r="D580" s="141"/>
      <c r="E580" s="141"/>
      <c r="F580" s="142" t="s">
        <v>377</v>
      </c>
      <c r="G580" s="143">
        <v>713</v>
      </c>
      <c r="H580" s="144" t="s">
        <v>360</v>
      </c>
      <c r="I580" s="145"/>
      <c r="J580" s="145"/>
      <c r="K580" s="145"/>
      <c r="L580" s="145"/>
      <c r="M580" s="145"/>
      <c r="N580" s="105">
        <v>43000</v>
      </c>
      <c r="O580" s="145"/>
      <c r="P580" s="105">
        <v>84339</v>
      </c>
      <c r="Q580" s="145"/>
      <c r="R580" s="145"/>
      <c r="T580" s="145">
        <f t="shared" si="189"/>
        <v>43000</v>
      </c>
    </row>
    <row r="581" spans="2:20" s="104" customFormat="1" x14ac:dyDescent="0.2">
      <c r="B581" s="97">
        <f t="shared" si="190"/>
        <v>28</v>
      </c>
      <c r="C581" s="141"/>
      <c r="D581" s="141"/>
      <c r="E581" s="141"/>
      <c r="F581" s="142" t="s">
        <v>377</v>
      </c>
      <c r="G581" s="143">
        <v>713</v>
      </c>
      <c r="H581" s="158" t="s">
        <v>812</v>
      </c>
      <c r="I581" s="145"/>
      <c r="J581" s="145"/>
      <c r="K581" s="145"/>
      <c r="L581" s="145"/>
      <c r="M581" s="145"/>
      <c r="N581" s="105">
        <v>84339</v>
      </c>
      <c r="O581" s="145"/>
      <c r="P581" s="105"/>
      <c r="Q581" s="145"/>
      <c r="R581" s="145"/>
      <c r="T581" s="145">
        <f t="shared" si="189"/>
        <v>84339</v>
      </c>
    </row>
    <row r="582" spans="2:20" x14ac:dyDescent="0.25">
      <c r="B582" s="97">
        <f t="shared" si="190"/>
        <v>29</v>
      </c>
      <c r="C582" s="9"/>
      <c r="D582" s="9"/>
      <c r="E582" s="9"/>
      <c r="F582" s="54" t="s">
        <v>377</v>
      </c>
      <c r="G582" s="126">
        <v>714</v>
      </c>
      <c r="H582" s="9" t="s">
        <v>368</v>
      </c>
      <c r="I582" s="10"/>
      <c r="J582" s="10"/>
      <c r="K582" s="10"/>
      <c r="L582" s="10"/>
      <c r="M582" s="10"/>
      <c r="N582" s="10"/>
      <c r="O582" s="10">
        <v>105000</v>
      </c>
      <c r="P582" s="10">
        <v>105000</v>
      </c>
      <c r="Q582" s="10">
        <v>85908</v>
      </c>
      <c r="R582" s="10"/>
      <c r="T582" s="10">
        <f t="shared" si="189"/>
        <v>0</v>
      </c>
    </row>
    <row r="583" spans="2:20" x14ac:dyDescent="0.25">
      <c r="B583" s="97">
        <f t="shared" si="190"/>
        <v>30</v>
      </c>
      <c r="C583" s="49"/>
      <c r="D583" s="49"/>
      <c r="E583" s="49">
        <v>2</v>
      </c>
      <c r="F583" s="49"/>
      <c r="G583" s="123"/>
      <c r="H583" s="49" t="s">
        <v>59</v>
      </c>
      <c r="I583" s="50">
        <f>I585+I586+I587</f>
        <v>149208</v>
      </c>
      <c r="J583" s="50">
        <f t="shared" ref="J583:R583" si="194">J584</f>
        <v>87700</v>
      </c>
      <c r="K583" s="50">
        <f t="shared" si="194"/>
        <v>98950</v>
      </c>
      <c r="L583" s="50">
        <f t="shared" si="194"/>
        <v>33775</v>
      </c>
      <c r="M583" s="50">
        <f t="shared" si="194"/>
        <v>9756</v>
      </c>
      <c r="N583" s="50">
        <v>0</v>
      </c>
      <c r="O583" s="50">
        <f t="shared" si="194"/>
        <v>0</v>
      </c>
      <c r="P583" s="50">
        <f t="shared" si="194"/>
        <v>0</v>
      </c>
      <c r="Q583" s="50">
        <f t="shared" si="194"/>
        <v>0</v>
      </c>
      <c r="R583" s="50">
        <f t="shared" si="194"/>
        <v>0</v>
      </c>
      <c r="T583" s="50">
        <f t="shared" si="189"/>
        <v>149208</v>
      </c>
    </row>
    <row r="584" spans="2:20" hidden="1" x14ac:dyDescent="0.25">
      <c r="B584" s="97">
        <f t="shared" si="190"/>
        <v>31</v>
      </c>
      <c r="C584" s="51"/>
      <c r="D584" s="51"/>
      <c r="E584" s="51" t="s">
        <v>60</v>
      </c>
      <c r="F584" s="51"/>
      <c r="G584" s="124"/>
      <c r="H584" s="51" t="s">
        <v>376</v>
      </c>
      <c r="I584" s="52" t="e">
        <f>#REF!+#REF!</f>
        <v>#REF!</v>
      </c>
      <c r="J584" s="52">
        <f>J593+J587+J586+J585</f>
        <v>87700</v>
      </c>
      <c r="K584" s="52">
        <f>K593+K587+K586+K585</f>
        <v>98950</v>
      </c>
      <c r="L584" s="52">
        <f>L593+L587+L586+L585</f>
        <v>33775</v>
      </c>
      <c r="M584" s="52">
        <f>M593+M587+M586+M585</f>
        <v>9756</v>
      </c>
      <c r="N584" s="52" t="e">
        <f>#REF!+#REF!</f>
        <v>#REF!</v>
      </c>
      <c r="O584" s="52">
        <f>O593+O587+O586+O585</f>
        <v>0</v>
      </c>
      <c r="P584" s="52">
        <f>P593+P587+P586+P585</f>
        <v>0</v>
      </c>
      <c r="Q584" s="52">
        <f>Q593+Q587+Q586+Q585</f>
        <v>0</v>
      </c>
      <c r="R584" s="52">
        <f>R593+R587+R586+R585</f>
        <v>0</v>
      </c>
      <c r="T584" s="52" t="e">
        <f t="shared" si="189"/>
        <v>#REF!</v>
      </c>
    </row>
    <row r="585" spans="2:20" x14ac:dyDescent="0.25">
      <c r="B585" s="97">
        <f t="shared" si="190"/>
        <v>32</v>
      </c>
      <c r="C585" s="29"/>
      <c r="D585" s="29"/>
      <c r="E585" s="29"/>
      <c r="F585" s="53" t="s">
        <v>377</v>
      </c>
      <c r="G585" s="125">
        <v>610</v>
      </c>
      <c r="H585" s="29" t="s">
        <v>338</v>
      </c>
      <c r="I585" s="15">
        <f>40300+4000</f>
        <v>44300</v>
      </c>
      <c r="J585" s="15">
        <v>19900</v>
      </c>
      <c r="K585" s="15">
        <v>23900</v>
      </c>
      <c r="L585" s="15">
        <v>10755</v>
      </c>
      <c r="M585" s="15">
        <v>0</v>
      </c>
      <c r="N585" s="15"/>
      <c r="O585" s="15"/>
      <c r="P585" s="15"/>
      <c r="Q585" s="15"/>
      <c r="R585" s="15"/>
      <c r="T585" s="15">
        <f t="shared" si="189"/>
        <v>44300</v>
      </c>
    </row>
    <row r="586" spans="2:20" x14ac:dyDescent="0.25">
      <c r="B586" s="97">
        <f t="shared" ref="B586:B632" si="195">B585+1</f>
        <v>33</v>
      </c>
      <c r="C586" s="29"/>
      <c r="D586" s="29"/>
      <c r="E586" s="29"/>
      <c r="F586" s="53" t="s">
        <v>377</v>
      </c>
      <c r="G586" s="125">
        <v>620</v>
      </c>
      <c r="H586" s="29" t="s">
        <v>313</v>
      </c>
      <c r="I586" s="15">
        <f>18300+1408</f>
        <v>19708</v>
      </c>
      <c r="J586" s="15">
        <v>10900</v>
      </c>
      <c r="K586" s="15">
        <v>12300</v>
      </c>
      <c r="L586" s="15">
        <v>5941</v>
      </c>
      <c r="M586" s="15">
        <v>2202</v>
      </c>
      <c r="N586" s="15"/>
      <c r="O586" s="15"/>
      <c r="P586" s="15"/>
      <c r="Q586" s="15"/>
      <c r="R586" s="15"/>
      <c r="T586" s="15">
        <f t="shared" si="189"/>
        <v>19708</v>
      </c>
    </row>
    <row r="587" spans="2:20" x14ac:dyDescent="0.25">
      <c r="B587" s="97">
        <f t="shared" si="195"/>
        <v>34</v>
      </c>
      <c r="C587" s="29"/>
      <c r="D587" s="29"/>
      <c r="E587" s="29"/>
      <c r="F587" s="53" t="s">
        <v>377</v>
      </c>
      <c r="G587" s="125">
        <v>630</v>
      </c>
      <c r="H587" s="29" t="s">
        <v>303</v>
      </c>
      <c r="I587" s="15">
        <f>SUM(I588:I592)</f>
        <v>85200</v>
      </c>
      <c r="J587" s="15">
        <f>SUM(J588:J591)</f>
        <v>56900</v>
      </c>
      <c r="K587" s="15">
        <f>SUM(K588:K591)</f>
        <v>62650</v>
      </c>
      <c r="L587" s="15">
        <f t="shared" ref="L587:M587" si="196">SUM(L588:L591)</f>
        <v>17079</v>
      </c>
      <c r="M587" s="15">
        <f t="shared" si="196"/>
        <v>7554</v>
      </c>
      <c r="N587" s="15"/>
      <c r="O587" s="15"/>
      <c r="P587" s="15"/>
      <c r="Q587" s="15"/>
      <c r="R587" s="15"/>
      <c r="T587" s="15">
        <f t="shared" si="189"/>
        <v>85200</v>
      </c>
    </row>
    <row r="588" spans="2:20" x14ac:dyDescent="0.25">
      <c r="B588" s="97">
        <f t="shared" si="195"/>
        <v>35</v>
      </c>
      <c r="C588" s="9"/>
      <c r="D588" s="9"/>
      <c r="E588" s="9"/>
      <c r="F588" s="54" t="s">
        <v>377</v>
      </c>
      <c r="G588" s="126">
        <v>633</v>
      </c>
      <c r="H588" s="9" t="s">
        <v>305</v>
      </c>
      <c r="I588" s="10">
        <v>27250</v>
      </c>
      <c r="J588" s="10">
        <v>35200</v>
      </c>
      <c r="K588" s="10">
        <v>34700</v>
      </c>
      <c r="L588" s="10">
        <v>8307</v>
      </c>
      <c r="M588" s="10">
        <v>359</v>
      </c>
      <c r="N588" s="10"/>
      <c r="O588" s="10"/>
      <c r="P588" s="10"/>
      <c r="Q588" s="10"/>
      <c r="R588" s="10"/>
      <c r="T588" s="10">
        <f t="shared" si="189"/>
        <v>27250</v>
      </c>
    </row>
    <row r="589" spans="2:20" x14ac:dyDescent="0.25">
      <c r="B589" s="97">
        <f t="shared" si="195"/>
        <v>36</v>
      </c>
      <c r="C589" s="9"/>
      <c r="D589" s="9"/>
      <c r="E589" s="9"/>
      <c r="F589" s="54" t="s">
        <v>377</v>
      </c>
      <c r="G589" s="126">
        <v>634</v>
      </c>
      <c r="H589" s="9" t="s">
        <v>306</v>
      </c>
      <c r="I589" s="10">
        <v>18000</v>
      </c>
      <c r="J589" s="10">
        <v>8000</v>
      </c>
      <c r="K589" s="10">
        <v>8000</v>
      </c>
      <c r="L589" s="10">
        <v>323</v>
      </c>
      <c r="M589" s="10">
        <v>0</v>
      </c>
      <c r="N589" s="10"/>
      <c r="O589" s="10"/>
      <c r="P589" s="10"/>
      <c r="Q589" s="10"/>
      <c r="R589" s="10"/>
      <c r="T589" s="10">
        <f t="shared" si="189"/>
        <v>18000</v>
      </c>
    </row>
    <row r="590" spans="2:20" x14ac:dyDescent="0.25">
      <c r="B590" s="97">
        <f t="shared" si="195"/>
        <v>37</v>
      </c>
      <c r="C590" s="9"/>
      <c r="D590" s="9"/>
      <c r="E590" s="9"/>
      <c r="F590" s="54" t="s">
        <v>377</v>
      </c>
      <c r="G590" s="126">
        <v>635</v>
      </c>
      <c r="H590" s="9" t="s">
        <v>320</v>
      </c>
      <c r="I590" s="10">
        <v>1000</v>
      </c>
      <c r="J590" s="10">
        <v>500</v>
      </c>
      <c r="K590" s="10">
        <v>500</v>
      </c>
      <c r="L590" s="10">
        <v>296</v>
      </c>
      <c r="M590" s="10">
        <v>0</v>
      </c>
      <c r="N590" s="10"/>
      <c r="O590" s="10"/>
      <c r="P590" s="10"/>
      <c r="Q590" s="10"/>
      <c r="R590" s="10"/>
      <c r="T590" s="10">
        <f t="shared" si="189"/>
        <v>1000</v>
      </c>
    </row>
    <row r="591" spans="2:20" x14ac:dyDescent="0.25">
      <c r="B591" s="97">
        <f t="shared" si="195"/>
        <v>38</v>
      </c>
      <c r="C591" s="9"/>
      <c r="D591" s="9"/>
      <c r="E591" s="9"/>
      <c r="F591" s="54" t="s">
        <v>377</v>
      </c>
      <c r="G591" s="126">
        <v>637</v>
      </c>
      <c r="H591" s="9" t="s">
        <v>308</v>
      </c>
      <c r="I591" s="10">
        <v>33950</v>
      </c>
      <c r="J591" s="10">
        <v>13200</v>
      </c>
      <c r="K591" s="10">
        <v>19450</v>
      </c>
      <c r="L591" s="10">
        <v>8153</v>
      </c>
      <c r="M591" s="10">
        <v>7195</v>
      </c>
      <c r="N591" s="10"/>
      <c r="O591" s="10"/>
      <c r="P591" s="10"/>
      <c r="Q591" s="10"/>
      <c r="R591" s="10"/>
      <c r="T591" s="10">
        <f t="shared" si="189"/>
        <v>33950</v>
      </c>
    </row>
    <row r="592" spans="2:20" x14ac:dyDescent="0.25">
      <c r="B592" s="97">
        <f t="shared" si="195"/>
        <v>39</v>
      </c>
      <c r="C592" s="9"/>
      <c r="D592" s="9"/>
      <c r="E592" s="9"/>
      <c r="F592" s="54" t="s">
        <v>377</v>
      </c>
      <c r="G592" s="126">
        <v>637</v>
      </c>
      <c r="H592" s="9" t="s">
        <v>946</v>
      </c>
      <c r="I592" s="10">
        <v>5000</v>
      </c>
      <c r="J592" s="10"/>
      <c r="K592" s="10"/>
      <c r="L592" s="10"/>
      <c r="M592" s="10"/>
      <c r="N592" s="10"/>
      <c r="O592" s="10"/>
      <c r="P592" s="10"/>
      <c r="Q592" s="10"/>
      <c r="R592" s="10"/>
      <c r="T592" s="10">
        <f t="shared" si="189"/>
        <v>5000</v>
      </c>
    </row>
    <row r="593" spans="2:20" x14ac:dyDescent="0.25">
      <c r="B593" s="97">
        <f t="shared" si="195"/>
        <v>40</v>
      </c>
      <c r="C593" s="29"/>
      <c r="D593" s="29"/>
      <c r="E593" s="29"/>
      <c r="F593" s="53" t="s">
        <v>377</v>
      </c>
      <c r="G593" s="125">
        <v>710</v>
      </c>
      <c r="H593" s="29" t="s">
        <v>321</v>
      </c>
      <c r="I593" s="15"/>
      <c r="J593" s="15">
        <f t="shared" ref="J593:M593" si="197">J594</f>
        <v>0</v>
      </c>
      <c r="K593" s="15">
        <v>100</v>
      </c>
      <c r="L593" s="15">
        <f t="shared" si="197"/>
        <v>0</v>
      </c>
      <c r="M593" s="15">
        <f t="shared" si="197"/>
        <v>0</v>
      </c>
      <c r="N593" s="15"/>
      <c r="O593" s="15"/>
      <c r="P593" s="15"/>
      <c r="Q593" s="15"/>
      <c r="R593" s="15"/>
      <c r="T593" s="15">
        <f t="shared" si="189"/>
        <v>0</v>
      </c>
    </row>
    <row r="594" spans="2:20" x14ac:dyDescent="0.25">
      <c r="B594" s="97">
        <f t="shared" si="195"/>
        <v>41</v>
      </c>
      <c r="C594" s="9"/>
      <c r="D594" s="9"/>
      <c r="E594" s="9"/>
      <c r="F594" s="54" t="s">
        <v>377</v>
      </c>
      <c r="G594" s="126">
        <v>714</v>
      </c>
      <c r="H594" s="9" t="s">
        <v>368</v>
      </c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T594" s="10">
        <f t="shared" si="189"/>
        <v>0</v>
      </c>
    </row>
    <row r="595" spans="2:20" ht="15.75" x14ac:dyDescent="0.25">
      <c r="B595" s="97">
        <f t="shared" si="195"/>
        <v>42</v>
      </c>
      <c r="C595" s="45">
        <v>3</v>
      </c>
      <c r="D595" s="293" t="s">
        <v>420</v>
      </c>
      <c r="E595" s="294"/>
      <c r="F595" s="294"/>
      <c r="G595" s="294"/>
      <c r="H595" s="295"/>
      <c r="I595" s="46">
        <v>0</v>
      </c>
      <c r="J595" s="46">
        <f t="shared" ref="J595:M597" si="198">J596</f>
        <v>0</v>
      </c>
      <c r="K595" s="46">
        <f t="shared" si="198"/>
        <v>0</v>
      </c>
      <c r="L595" s="46">
        <f t="shared" si="198"/>
        <v>0</v>
      </c>
      <c r="M595" s="46">
        <f t="shared" si="198"/>
        <v>0</v>
      </c>
      <c r="N595" s="46">
        <f>N599</f>
        <v>5509878</v>
      </c>
      <c r="O595" s="46">
        <f t="shared" ref="O595:R597" si="199">O596</f>
        <v>1558237</v>
      </c>
      <c r="P595" s="46">
        <f t="shared" si="199"/>
        <v>3306517</v>
      </c>
      <c r="Q595" s="46">
        <f t="shared" si="199"/>
        <v>367454.23</v>
      </c>
      <c r="R595" s="46">
        <f t="shared" si="199"/>
        <v>946935.44</v>
      </c>
      <c r="T595" s="46">
        <f t="shared" si="189"/>
        <v>5509878</v>
      </c>
    </row>
    <row r="596" spans="2:20" hidden="1" x14ac:dyDescent="0.25">
      <c r="B596" s="97">
        <f t="shared" si="195"/>
        <v>43</v>
      </c>
      <c r="C596" s="47"/>
      <c r="D596" s="47" t="s">
        <v>60</v>
      </c>
      <c r="E596" s="296"/>
      <c r="F596" s="294"/>
      <c r="G596" s="294"/>
      <c r="H596" s="295"/>
      <c r="I596" s="48" t="e">
        <f>#REF!+#REF!</f>
        <v>#REF!</v>
      </c>
      <c r="J596" s="48">
        <f t="shared" si="198"/>
        <v>0</v>
      </c>
      <c r="K596" s="48">
        <f t="shared" si="198"/>
        <v>0</v>
      </c>
      <c r="L596" s="48">
        <f t="shared" si="198"/>
        <v>0</v>
      </c>
      <c r="M596" s="48">
        <f t="shared" si="198"/>
        <v>0</v>
      </c>
      <c r="N596" s="48" t="e">
        <f>#REF!+#REF!</f>
        <v>#REF!</v>
      </c>
      <c r="O596" s="48">
        <f t="shared" si="199"/>
        <v>1558237</v>
      </c>
      <c r="P596" s="48">
        <f t="shared" si="199"/>
        <v>3306517</v>
      </c>
      <c r="Q596" s="48">
        <f t="shared" si="199"/>
        <v>367454.23</v>
      </c>
      <c r="R596" s="48">
        <f t="shared" si="199"/>
        <v>946935.44</v>
      </c>
      <c r="T596" s="48" t="e">
        <f t="shared" si="189"/>
        <v>#REF!</v>
      </c>
    </row>
    <row r="597" spans="2:20" hidden="1" x14ac:dyDescent="0.25">
      <c r="B597" s="97">
        <f t="shared" si="195"/>
        <v>44</v>
      </c>
      <c r="C597" s="49"/>
      <c r="D597" s="49"/>
      <c r="E597" s="49"/>
      <c r="F597" s="49"/>
      <c r="G597" s="123"/>
      <c r="H597" s="49" t="s">
        <v>12</v>
      </c>
      <c r="I597" s="50" t="e">
        <f>#REF!+#REF!</f>
        <v>#REF!</v>
      </c>
      <c r="J597" s="50">
        <f t="shared" si="198"/>
        <v>0</v>
      </c>
      <c r="K597" s="50">
        <f t="shared" si="198"/>
        <v>0</v>
      </c>
      <c r="L597" s="50">
        <f t="shared" si="198"/>
        <v>0</v>
      </c>
      <c r="M597" s="50">
        <f t="shared" si="198"/>
        <v>0</v>
      </c>
      <c r="N597" s="50" t="e">
        <f>#REF!+#REF!</f>
        <v>#REF!</v>
      </c>
      <c r="O597" s="50">
        <f t="shared" si="199"/>
        <v>1558237</v>
      </c>
      <c r="P597" s="50">
        <f t="shared" si="199"/>
        <v>3306517</v>
      </c>
      <c r="Q597" s="50">
        <f t="shared" si="199"/>
        <v>367454.23</v>
      </c>
      <c r="R597" s="50">
        <f t="shared" si="199"/>
        <v>946935.44</v>
      </c>
      <c r="T597" s="50" t="e">
        <f t="shared" si="189"/>
        <v>#REF!</v>
      </c>
    </row>
    <row r="598" spans="2:20" hidden="1" x14ac:dyDescent="0.25">
      <c r="B598" s="97">
        <f t="shared" si="195"/>
        <v>45</v>
      </c>
      <c r="C598" s="51"/>
      <c r="D598" s="51"/>
      <c r="E598" s="51" t="s">
        <v>60</v>
      </c>
      <c r="F598" s="51"/>
      <c r="G598" s="124"/>
      <c r="H598" s="51" t="s">
        <v>421</v>
      </c>
      <c r="I598" s="52" t="e">
        <f>#REF!+#REF!</f>
        <v>#REF!</v>
      </c>
      <c r="J598" s="52">
        <f>J758+J599</f>
        <v>0</v>
      </c>
      <c r="K598" s="52">
        <f>K758+K599</f>
        <v>0</v>
      </c>
      <c r="L598" s="52">
        <f>L758+L599</f>
        <v>0</v>
      </c>
      <c r="M598" s="52">
        <f>M758+M599</f>
        <v>0</v>
      </c>
      <c r="N598" s="52" t="e">
        <f>#REF!+#REF!</f>
        <v>#REF!</v>
      </c>
      <c r="O598" s="52">
        <f>O758+O599</f>
        <v>1558237</v>
      </c>
      <c r="P598" s="52">
        <f>P758+P599</f>
        <v>3306517</v>
      </c>
      <c r="Q598" s="52">
        <f>Q758+Q599</f>
        <v>367454.23</v>
      </c>
      <c r="R598" s="52">
        <f>R758+R599</f>
        <v>946935.44</v>
      </c>
      <c r="T598" s="52" t="e">
        <f t="shared" si="189"/>
        <v>#REF!</v>
      </c>
    </row>
    <row r="599" spans="2:20" x14ac:dyDescent="0.25">
      <c r="B599" s="97">
        <f t="shared" si="195"/>
        <v>46</v>
      </c>
      <c r="C599" s="29"/>
      <c r="D599" s="29"/>
      <c r="E599" s="29"/>
      <c r="F599" s="53" t="s">
        <v>377</v>
      </c>
      <c r="G599" s="125">
        <v>710</v>
      </c>
      <c r="H599" s="29" t="s">
        <v>321</v>
      </c>
      <c r="I599" s="15"/>
      <c r="J599" s="15"/>
      <c r="K599" s="15"/>
      <c r="L599" s="15"/>
      <c r="M599" s="15"/>
      <c r="N599" s="15">
        <f>N658+N603+N602+N600</f>
        <v>5509878</v>
      </c>
      <c r="O599" s="15">
        <f>O658+O603+O602+O600</f>
        <v>1503237</v>
      </c>
      <c r="P599" s="15">
        <f>P658+P603+P602+P600</f>
        <v>3027841</v>
      </c>
      <c r="Q599" s="15">
        <f>Q658+Q603+Q602+Q600</f>
        <v>367454.23</v>
      </c>
      <c r="R599" s="15">
        <f>R658+R603+R602+R600</f>
        <v>946935.44</v>
      </c>
      <c r="T599" s="15">
        <f t="shared" si="189"/>
        <v>5509878</v>
      </c>
    </row>
    <row r="600" spans="2:20" x14ac:dyDescent="0.25">
      <c r="B600" s="97">
        <f t="shared" si="195"/>
        <v>47</v>
      </c>
      <c r="C600" s="9"/>
      <c r="D600" s="9"/>
      <c r="E600" s="9"/>
      <c r="F600" s="54" t="s">
        <v>377</v>
      </c>
      <c r="G600" s="126">
        <v>711</v>
      </c>
      <c r="H600" s="9" t="s">
        <v>322</v>
      </c>
      <c r="I600" s="10"/>
      <c r="J600" s="10"/>
      <c r="K600" s="10"/>
      <c r="L600" s="10"/>
      <c r="M600" s="10"/>
      <c r="N600" s="10"/>
      <c r="O600" s="10"/>
      <c r="P600" s="10"/>
      <c r="Q600" s="10"/>
      <c r="R600" s="10">
        <f t="shared" ref="R600" si="200">R601</f>
        <v>72320</v>
      </c>
      <c r="T600" s="10">
        <f t="shared" si="189"/>
        <v>0</v>
      </c>
    </row>
    <row r="601" spans="2:20" x14ac:dyDescent="0.25">
      <c r="B601" s="97">
        <f t="shared" si="195"/>
        <v>48</v>
      </c>
      <c r="C601" s="12"/>
      <c r="D601" s="12"/>
      <c r="E601" s="12"/>
      <c r="F601" s="12"/>
      <c r="G601" s="127"/>
      <c r="H601" s="12" t="s">
        <v>421</v>
      </c>
      <c r="I601" s="13"/>
      <c r="J601" s="13"/>
      <c r="K601" s="13"/>
      <c r="L601" s="13"/>
      <c r="M601" s="13"/>
      <c r="N601" s="13"/>
      <c r="O601" s="13"/>
      <c r="P601" s="13"/>
      <c r="Q601" s="13"/>
      <c r="R601" s="13">
        <v>72320</v>
      </c>
      <c r="T601" s="13">
        <f t="shared" si="189"/>
        <v>0</v>
      </c>
    </row>
    <row r="602" spans="2:20" x14ac:dyDescent="0.25">
      <c r="B602" s="97">
        <f t="shared" si="195"/>
        <v>49</v>
      </c>
      <c r="C602" s="9"/>
      <c r="D602" s="9"/>
      <c r="E602" s="9"/>
      <c r="F602" s="54" t="s">
        <v>377</v>
      </c>
      <c r="G602" s="126">
        <v>712</v>
      </c>
      <c r="H602" s="9" t="s">
        <v>351</v>
      </c>
      <c r="I602" s="10"/>
      <c r="J602" s="10"/>
      <c r="K602" s="10"/>
      <c r="L602" s="10"/>
      <c r="M602" s="10"/>
      <c r="N602" s="10"/>
      <c r="O602" s="10"/>
      <c r="P602" s="10">
        <v>20000</v>
      </c>
      <c r="Q602" s="10"/>
      <c r="R602" s="10"/>
      <c r="T602" s="10">
        <f t="shared" si="189"/>
        <v>0</v>
      </c>
    </row>
    <row r="603" spans="2:20" x14ac:dyDescent="0.25">
      <c r="B603" s="97">
        <f t="shared" si="195"/>
        <v>50</v>
      </c>
      <c r="C603" s="9"/>
      <c r="D603" s="9"/>
      <c r="E603" s="9"/>
      <c r="F603" s="54" t="s">
        <v>377</v>
      </c>
      <c r="G603" s="126">
        <v>716</v>
      </c>
      <c r="H603" s="9" t="s">
        <v>323</v>
      </c>
      <c r="I603" s="10"/>
      <c r="J603" s="10"/>
      <c r="K603" s="10"/>
      <c r="L603" s="10"/>
      <c r="M603" s="10"/>
      <c r="N603" s="10">
        <f>SUM(N604:N657)</f>
        <v>135150</v>
      </c>
      <c r="O603" s="10">
        <f>SUM(O604:O653)</f>
        <v>168500</v>
      </c>
      <c r="P603" s="10">
        <f>SUM(P604:P657)</f>
        <v>276596</v>
      </c>
      <c r="Q603" s="10">
        <f t="shared" ref="Q603:R603" si="201">SUM(Q604:Q653)</f>
        <v>19360</v>
      </c>
      <c r="R603" s="10">
        <f t="shared" si="201"/>
        <v>22098.2</v>
      </c>
      <c r="T603" s="10">
        <f t="shared" si="189"/>
        <v>135150</v>
      </c>
    </row>
    <row r="604" spans="2:20" x14ac:dyDescent="0.25">
      <c r="B604" s="97">
        <f t="shared" si="195"/>
        <v>51</v>
      </c>
      <c r="C604" s="12"/>
      <c r="D604" s="12"/>
      <c r="E604" s="12"/>
      <c r="F604" s="12"/>
      <c r="G604" s="127"/>
      <c r="H604" s="12" t="s">
        <v>422</v>
      </c>
      <c r="I604" s="13"/>
      <c r="J604" s="13"/>
      <c r="K604" s="13"/>
      <c r="L604" s="13"/>
      <c r="M604" s="13"/>
      <c r="N604" s="10"/>
      <c r="O604" s="13"/>
      <c r="P604" s="13"/>
      <c r="Q604" s="13"/>
      <c r="R604" s="13">
        <v>6877.2</v>
      </c>
      <c r="T604" s="13">
        <f t="shared" si="189"/>
        <v>0</v>
      </c>
    </row>
    <row r="605" spans="2:20" x14ac:dyDescent="0.25">
      <c r="B605" s="97">
        <f t="shared" si="195"/>
        <v>52</v>
      </c>
      <c r="C605" s="12"/>
      <c r="D605" s="12"/>
      <c r="E605" s="12"/>
      <c r="F605" s="12"/>
      <c r="G605" s="127"/>
      <c r="H605" s="12" t="s">
        <v>423</v>
      </c>
      <c r="I605" s="13"/>
      <c r="J605" s="13"/>
      <c r="K605" s="13"/>
      <c r="L605" s="13"/>
      <c r="M605" s="13"/>
      <c r="N605" s="10"/>
      <c r="O605" s="13"/>
      <c r="P605" s="13"/>
      <c r="Q605" s="13"/>
      <c r="R605" s="13">
        <v>940</v>
      </c>
      <c r="T605" s="13">
        <f t="shared" si="189"/>
        <v>0</v>
      </c>
    </row>
    <row r="606" spans="2:20" x14ac:dyDescent="0.25">
      <c r="B606" s="97">
        <f t="shared" si="195"/>
        <v>53</v>
      </c>
      <c r="C606" s="12"/>
      <c r="D606" s="12"/>
      <c r="E606" s="12"/>
      <c r="F606" s="12"/>
      <c r="G606" s="127"/>
      <c r="H606" s="12" t="s">
        <v>424</v>
      </c>
      <c r="I606" s="13"/>
      <c r="J606" s="13"/>
      <c r="K606" s="13"/>
      <c r="L606" s="13"/>
      <c r="M606" s="13"/>
      <c r="N606" s="10"/>
      <c r="O606" s="13"/>
      <c r="P606" s="13">
        <v>5000</v>
      </c>
      <c r="Q606" s="13"/>
      <c r="R606" s="13"/>
      <c r="T606" s="13">
        <f t="shared" si="189"/>
        <v>0</v>
      </c>
    </row>
    <row r="607" spans="2:20" x14ac:dyDescent="0.25">
      <c r="B607" s="97">
        <f t="shared" si="195"/>
        <v>54</v>
      </c>
      <c r="C607" s="12"/>
      <c r="D607" s="12"/>
      <c r="E607" s="12"/>
      <c r="F607" s="12"/>
      <c r="G607" s="127"/>
      <c r="H607" s="12" t="s">
        <v>425</v>
      </c>
      <c r="I607" s="13"/>
      <c r="J607" s="13"/>
      <c r="K607" s="13"/>
      <c r="L607" s="13"/>
      <c r="M607" s="13"/>
      <c r="N607" s="10"/>
      <c r="O607" s="13"/>
      <c r="P607" s="13"/>
      <c r="Q607" s="13"/>
      <c r="R607" s="13">
        <v>4500</v>
      </c>
      <c r="T607" s="13">
        <f t="shared" si="189"/>
        <v>0</v>
      </c>
    </row>
    <row r="608" spans="2:20" x14ac:dyDescent="0.25">
      <c r="B608" s="97">
        <f t="shared" si="195"/>
        <v>55</v>
      </c>
      <c r="C608" s="12"/>
      <c r="D608" s="12"/>
      <c r="E608" s="12"/>
      <c r="F608" s="12"/>
      <c r="G608" s="127"/>
      <c r="H608" s="12" t="s">
        <v>426</v>
      </c>
      <c r="I608" s="13"/>
      <c r="J608" s="13"/>
      <c r="K608" s="13"/>
      <c r="L608" s="13"/>
      <c r="M608" s="13"/>
      <c r="N608" s="10"/>
      <c r="O608" s="13"/>
      <c r="P608" s="13"/>
      <c r="Q608" s="13"/>
      <c r="R608" s="13">
        <v>3000</v>
      </c>
      <c r="T608" s="13">
        <f t="shared" si="189"/>
        <v>0</v>
      </c>
    </row>
    <row r="609" spans="2:20" x14ac:dyDescent="0.25">
      <c r="B609" s="97">
        <f t="shared" si="195"/>
        <v>56</v>
      </c>
      <c r="C609" s="12"/>
      <c r="D609" s="12"/>
      <c r="E609" s="12"/>
      <c r="F609" s="12"/>
      <c r="G609" s="127"/>
      <c r="H609" s="12" t="s">
        <v>428</v>
      </c>
      <c r="I609" s="13"/>
      <c r="J609" s="13"/>
      <c r="K609" s="13"/>
      <c r="L609" s="13"/>
      <c r="M609" s="13"/>
      <c r="N609" s="10"/>
      <c r="O609" s="13"/>
      <c r="P609" s="13"/>
      <c r="Q609" s="13"/>
      <c r="R609" s="13">
        <v>2431</v>
      </c>
      <c r="T609" s="13">
        <f t="shared" si="189"/>
        <v>0</v>
      </c>
    </row>
    <row r="610" spans="2:20" x14ac:dyDescent="0.25">
      <c r="B610" s="97">
        <f t="shared" si="195"/>
        <v>57</v>
      </c>
      <c r="C610" s="12"/>
      <c r="D610" s="12"/>
      <c r="E610" s="12"/>
      <c r="F610" s="12"/>
      <c r="G610" s="127"/>
      <c r="H610" s="12" t="s">
        <v>429</v>
      </c>
      <c r="I610" s="13"/>
      <c r="J610" s="13"/>
      <c r="K610" s="13"/>
      <c r="L610" s="13"/>
      <c r="M610" s="13"/>
      <c r="N610" s="10"/>
      <c r="O610" s="13"/>
      <c r="P610" s="13"/>
      <c r="Q610" s="13"/>
      <c r="R610" s="13">
        <v>2000</v>
      </c>
      <c r="T610" s="13">
        <f t="shared" si="189"/>
        <v>0</v>
      </c>
    </row>
    <row r="611" spans="2:20" x14ac:dyDescent="0.25">
      <c r="B611" s="97">
        <f t="shared" si="195"/>
        <v>58</v>
      </c>
      <c r="C611" s="12"/>
      <c r="D611" s="12"/>
      <c r="E611" s="12"/>
      <c r="F611" s="12"/>
      <c r="G611" s="127"/>
      <c r="H611" s="12" t="s">
        <v>430</v>
      </c>
      <c r="I611" s="13"/>
      <c r="J611" s="13"/>
      <c r="K611" s="13"/>
      <c r="L611" s="13"/>
      <c r="M611" s="13"/>
      <c r="N611" s="10"/>
      <c r="O611" s="13"/>
      <c r="P611" s="13"/>
      <c r="Q611" s="13"/>
      <c r="R611" s="13">
        <v>950</v>
      </c>
      <c r="T611" s="13">
        <f t="shared" si="189"/>
        <v>0</v>
      </c>
    </row>
    <row r="612" spans="2:20" x14ac:dyDescent="0.25">
      <c r="B612" s="97">
        <f t="shared" si="195"/>
        <v>59</v>
      </c>
      <c r="C612" s="12"/>
      <c r="D612" s="12"/>
      <c r="E612" s="12"/>
      <c r="F612" s="12"/>
      <c r="G612" s="127"/>
      <c r="H612" s="12" t="s">
        <v>431</v>
      </c>
      <c r="I612" s="13"/>
      <c r="J612" s="13"/>
      <c r="K612" s="13"/>
      <c r="L612" s="13"/>
      <c r="M612" s="13"/>
      <c r="N612" s="10"/>
      <c r="O612" s="13"/>
      <c r="P612" s="13">
        <v>15696</v>
      </c>
      <c r="Q612" s="13">
        <v>9460</v>
      </c>
      <c r="R612" s="13"/>
      <c r="T612" s="13">
        <f t="shared" si="189"/>
        <v>0</v>
      </c>
    </row>
    <row r="613" spans="2:20" x14ac:dyDescent="0.25">
      <c r="B613" s="97">
        <f t="shared" si="195"/>
        <v>60</v>
      </c>
      <c r="C613" s="12"/>
      <c r="D613" s="12"/>
      <c r="E613" s="12"/>
      <c r="F613" s="12"/>
      <c r="G613" s="127"/>
      <c r="H613" s="12" t="s">
        <v>432</v>
      </c>
      <c r="I613" s="13"/>
      <c r="J613" s="13"/>
      <c r="K613" s="13"/>
      <c r="L613" s="13"/>
      <c r="M613" s="13"/>
      <c r="N613" s="10"/>
      <c r="O613" s="13"/>
      <c r="P613" s="13"/>
      <c r="Q613" s="13">
        <v>480</v>
      </c>
      <c r="R613" s="13"/>
      <c r="T613" s="13">
        <f t="shared" si="189"/>
        <v>0</v>
      </c>
    </row>
    <row r="614" spans="2:20" x14ac:dyDescent="0.25">
      <c r="B614" s="97">
        <f t="shared" si="195"/>
        <v>61</v>
      </c>
      <c r="C614" s="12"/>
      <c r="D614" s="12"/>
      <c r="E614" s="12"/>
      <c r="F614" s="12"/>
      <c r="G614" s="127"/>
      <c r="H614" s="12" t="s">
        <v>433</v>
      </c>
      <c r="I614" s="13"/>
      <c r="J614" s="13"/>
      <c r="K614" s="13"/>
      <c r="L614" s="13"/>
      <c r="M614" s="13"/>
      <c r="N614" s="10"/>
      <c r="O614" s="13"/>
      <c r="P614" s="13"/>
      <c r="Q614" s="13">
        <v>2900</v>
      </c>
      <c r="R614" s="13"/>
      <c r="T614" s="13">
        <f t="shared" si="189"/>
        <v>0</v>
      </c>
    </row>
    <row r="615" spans="2:20" x14ac:dyDescent="0.25">
      <c r="B615" s="97">
        <f t="shared" si="195"/>
        <v>62</v>
      </c>
      <c r="C615" s="12"/>
      <c r="D615" s="12"/>
      <c r="E615" s="12"/>
      <c r="F615" s="12"/>
      <c r="G615" s="127"/>
      <c r="H615" s="12" t="s">
        <v>434</v>
      </c>
      <c r="I615" s="13"/>
      <c r="J615" s="13"/>
      <c r="K615" s="13"/>
      <c r="L615" s="13"/>
      <c r="M615" s="13"/>
      <c r="N615" s="10"/>
      <c r="O615" s="13"/>
      <c r="P615" s="13"/>
      <c r="Q615" s="13">
        <v>2000</v>
      </c>
      <c r="R615" s="13"/>
      <c r="T615" s="13">
        <f t="shared" si="189"/>
        <v>0</v>
      </c>
    </row>
    <row r="616" spans="2:20" x14ac:dyDescent="0.25">
      <c r="B616" s="97">
        <f t="shared" si="195"/>
        <v>63</v>
      </c>
      <c r="C616" s="12"/>
      <c r="D616" s="12"/>
      <c r="E616" s="12"/>
      <c r="F616" s="12"/>
      <c r="G616" s="127"/>
      <c r="H616" s="12" t="s">
        <v>435</v>
      </c>
      <c r="I616" s="13"/>
      <c r="J616" s="13"/>
      <c r="K616" s="13"/>
      <c r="L616" s="13"/>
      <c r="M616" s="13"/>
      <c r="N616" s="10"/>
      <c r="O616" s="13"/>
      <c r="P616" s="13"/>
      <c r="Q616" s="13">
        <v>300</v>
      </c>
      <c r="R616" s="13"/>
      <c r="T616" s="13">
        <f t="shared" si="189"/>
        <v>0</v>
      </c>
    </row>
    <row r="617" spans="2:20" x14ac:dyDescent="0.25">
      <c r="B617" s="97">
        <f t="shared" si="195"/>
        <v>64</v>
      </c>
      <c r="C617" s="12"/>
      <c r="D617" s="12"/>
      <c r="E617" s="12"/>
      <c r="F617" s="12"/>
      <c r="G617" s="127"/>
      <c r="H617" s="12" t="s">
        <v>436</v>
      </c>
      <c r="I617" s="13"/>
      <c r="J617" s="13"/>
      <c r="K617" s="13"/>
      <c r="L617" s="13"/>
      <c r="M617" s="13"/>
      <c r="N617" s="10"/>
      <c r="O617" s="13"/>
      <c r="P617" s="13"/>
      <c r="Q617" s="13">
        <v>500</v>
      </c>
      <c r="R617" s="13"/>
      <c r="T617" s="13">
        <f t="shared" si="189"/>
        <v>0</v>
      </c>
    </row>
    <row r="618" spans="2:20" x14ac:dyDescent="0.25">
      <c r="B618" s="97">
        <f t="shared" si="195"/>
        <v>65</v>
      </c>
      <c r="C618" s="12"/>
      <c r="D618" s="12"/>
      <c r="E618" s="12"/>
      <c r="F618" s="12"/>
      <c r="G618" s="127"/>
      <c r="H618" s="12" t="s">
        <v>438</v>
      </c>
      <c r="I618" s="13"/>
      <c r="J618" s="13"/>
      <c r="K618" s="13"/>
      <c r="L618" s="13"/>
      <c r="M618" s="13"/>
      <c r="N618" s="10"/>
      <c r="O618" s="13"/>
      <c r="P618" s="13"/>
      <c r="Q618" s="13">
        <v>400</v>
      </c>
      <c r="R618" s="13"/>
      <c r="T618" s="13">
        <f t="shared" si="189"/>
        <v>0</v>
      </c>
    </row>
    <row r="619" spans="2:20" x14ac:dyDescent="0.25">
      <c r="B619" s="97">
        <f t="shared" si="195"/>
        <v>66</v>
      </c>
      <c r="C619" s="12"/>
      <c r="D619" s="12"/>
      <c r="E619" s="12"/>
      <c r="F619" s="12"/>
      <c r="G619" s="127"/>
      <c r="H619" s="12" t="s">
        <v>439</v>
      </c>
      <c r="I619" s="13"/>
      <c r="J619" s="13"/>
      <c r="K619" s="13"/>
      <c r="L619" s="13"/>
      <c r="M619" s="13"/>
      <c r="N619" s="10"/>
      <c r="O619" s="13"/>
      <c r="P619" s="13"/>
      <c r="Q619" s="13">
        <v>400</v>
      </c>
      <c r="R619" s="13"/>
      <c r="T619" s="13">
        <f t="shared" si="189"/>
        <v>0</v>
      </c>
    </row>
    <row r="620" spans="2:20" x14ac:dyDescent="0.25">
      <c r="B620" s="97">
        <f t="shared" si="195"/>
        <v>67</v>
      </c>
      <c r="C620" s="12"/>
      <c r="D620" s="12"/>
      <c r="E620" s="12"/>
      <c r="F620" s="12"/>
      <c r="G620" s="127"/>
      <c r="H620" s="12" t="s">
        <v>953</v>
      </c>
      <c r="I620" s="13"/>
      <c r="J620" s="13"/>
      <c r="K620" s="13"/>
      <c r="L620" s="13"/>
      <c r="M620" s="13"/>
      <c r="N620" s="10">
        <v>3000</v>
      </c>
      <c r="O620" s="13"/>
      <c r="P620" s="13">
        <v>3500</v>
      </c>
      <c r="Q620" s="13"/>
      <c r="R620" s="13"/>
      <c r="T620" s="13">
        <f t="shared" si="189"/>
        <v>3000</v>
      </c>
    </row>
    <row r="621" spans="2:20" x14ac:dyDescent="0.25">
      <c r="B621" s="97">
        <f t="shared" si="195"/>
        <v>68</v>
      </c>
      <c r="C621" s="12"/>
      <c r="D621" s="12"/>
      <c r="E621" s="12"/>
      <c r="F621" s="12"/>
      <c r="G621" s="127"/>
      <c r="H621" s="12" t="s">
        <v>440</v>
      </c>
      <c r="I621" s="13"/>
      <c r="J621" s="13"/>
      <c r="K621" s="13"/>
      <c r="L621" s="13"/>
      <c r="M621" s="13"/>
      <c r="N621" s="10"/>
      <c r="O621" s="13"/>
      <c r="P621" s="13"/>
      <c r="Q621" s="13">
        <v>500</v>
      </c>
      <c r="R621" s="13"/>
      <c r="T621" s="13">
        <f t="shared" ref="T621:T685" si="202">N621+I621</f>
        <v>0</v>
      </c>
    </row>
    <row r="622" spans="2:20" x14ac:dyDescent="0.25">
      <c r="B622" s="97">
        <f t="shared" si="195"/>
        <v>69</v>
      </c>
      <c r="C622" s="12"/>
      <c r="D622" s="12"/>
      <c r="E622" s="12"/>
      <c r="F622" s="12"/>
      <c r="G622" s="127"/>
      <c r="H622" s="12" t="s">
        <v>442</v>
      </c>
      <c r="I622" s="13"/>
      <c r="J622" s="13"/>
      <c r="K622" s="13"/>
      <c r="L622" s="13"/>
      <c r="M622" s="13"/>
      <c r="N622" s="10"/>
      <c r="O622" s="13"/>
      <c r="P622" s="13"/>
      <c r="Q622" s="13">
        <v>800</v>
      </c>
      <c r="R622" s="13"/>
      <c r="T622" s="13">
        <f t="shared" si="202"/>
        <v>0</v>
      </c>
    </row>
    <row r="623" spans="2:20" x14ac:dyDescent="0.25">
      <c r="B623" s="97">
        <f t="shared" si="195"/>
        <v>70</v>
      </c>
      <c r="C623" s="12"/>
      <c r="D623" s="12"/>
      <c r="E623" s="12"/>
      <c r="F623" s="12"/>
      <c r="G623" s="127"/>
      <c r="H623" s="12" t="s">
        <v>443</v>
      </c>
      <c r="I623" s="13"/>
      <c r="J623" s="13"/>
      <c r="K623" s="13"/>
      <c r="L623" s="13"/>
      <c r="M623" s="13"/>
      <c r="N623" s="10"/>
      <c r="O623" s="13"/>
      <c r="P623" s="13"/>
      <c r="Q623" s="13">
        <v>820</v>
      </c>
      <c r="R623" s="13"/>
      <c r="T623" s="13">
        <f t="shared" si="202"/>
        <v>0</v>
      </c>
    </row>
    <row r="624" spans="2:20" x14ac:dyDescent="0.25">
      <c r="B624" s="97">
        <f t="shared" si="195"/>
        <v>71</v>
      </c>
      <c r="C624" s="12"/>
      <c r="D624" s="12"/>
      <c r="E624" s="12"/>
      <c r="F624" s="12"/>
      <c r="G624" s="127"/>
      <c r="H624" s="12" t="s">
        <v>444</v>
      </c>
      <c r="I624" s="13"/>
      <c r="J624" s="13"/>
      <c r="K624" s="13"/>
      <c r="L624" s="13"/>
      <c r="M624" s="13"/>
      <c r="N624" s="10"/>
      <c r="O624" s="13"/>
      <c r="P624" s="13">
        <v>600</v>
      </c>
      <c r="Q624" s="13">
        <v>300</v>
      </c>
      <c r="R624" s="13"/>
      <c r="T624" s="13">
        <f t="shared" si="202"/>
        <v>0</v>
      </c>
    </row>
    <row r="625" spans="2:20" x14ac:dyDescent="0.25">
      <c r="B625" s="97">
        <f t="shared" si="195"/>
        <v>72</v>
      </c>
      <c r="C625" s="12"/>
      <c r="D625" s="12"/>
      <c r="E625" s="12"/>
      <c r="F625" s="12"/>
      <c r="G625" s="127"/>
      <c r="H625" s="12" t="s">
        <v>445</v>
      </c>
      <c r="I625" s="13"/>
      <c r="J625" s="13"/>
      <c r="K625" s="13"/>
      <c r="L625" s="13"/>
      <c r="M625" s="13"/>
      <c r="N625" s="10"/>
      <c r="O625" s="13"/>
      <c r="P625" s="13">
        <v>400</v>
      </c>
      <c r="Q625" s="13"/>
      <c r="R625" s="13"/>
      <c r="T625" s="13">
        <f t="shared" si="202"/>
        <v>0</v>
      </c>
    </row>
    <row r="626" spans="2:20" x14ac:dyDescent="0.25">
      <c r="B626" s="97">
        <f t="shared" si="195"/>
        <v>73</v>
      </c>
      <c r="C626" s="12"/>
      <c r="D626" s="12"/>
      <c r="E626" s="12"/>
      <c r="F626" s="12"/>
      <c r="G626" s="127"/>
      <c r="H626" s="91" t="s">
        <v>854</v>
      </c>
      <c r="I626" s="13"/>
      <c r="J626" s="13"/>
      <c r="K626" s="13"/>
      <c r="L626" s="13"/>
      <c r="M626" s="13"/>
      <c r="N626" s="10">
        <v>40700</v>
      </c>
      <c r="O626" s="13">
        <v>150000</v>
      </c>
      <c r="P626" s="13">
        <v>150000</v>
      </c>
      <c r="Q626" s="13"/>
      <c r="R626" s="13"/>
      <c r="T626" s="13">
        <f t="shared" si="202"/>
        <v>40700</v>
      </c>
    </row>
    <row r="627" spans="2:20" x14ac:dyDescent="0.25">
      <c r="B627" s="97">
        <f t="shared" si="195"/>
        <v>74</v>
      </c>
      <c r="C627" s="12"/>
      <c r="D627" s="12"/>
      <c r="E627" s="12"/>
      <c r="F627" s="12"/>
      <c r="G627" s="127"/>
      <c r="H627" s="91" t="s">
        <v>853</v>
      </c>
      <c r="I627" s="13"/>
      <c r="J627" s="13"/>
      <c r="K627" s="13"/>
      <c r="L627" s="13"/>
      <c r="M627" s="13"/>
      <c r="N627" s="10">
        <v>48000</v>
      </c>
      <c r="O627" s="13">
        <v>10000</v>
      </c>
      <c r="P627" s="13">
        <v>50000</v>
      </c>
      <c r="Q627" s="13"/>
      <c r="R627" s="13"/>
      <c r="T627" s="13">
        <f t="shared" si="202"/>
        <v>48000</v>
      </c>
    </row>
    <row r="628" spans="2:20" x14ac:dyDescent="0.25">
      <c r="B628" s="97">
        <f t="shared" si="195"/>
        <v>75</v>
      </c>
      <c r="C628" s="12"/>
      <c r="D628" s="12"/>
      <c r="E628" s="12"/>
      <c r="F628" s="12"/>
      <c r="G628" s="127"/>
      <c r="H628" s="91" t="s">
        <v>928</v>
      </c>
      <c r="I628" s="13"/>
      <c r="J628" s="13"/>
      <c r="K628" s="13"/>
      <c r="L628" s="13"/>
      <c r="M628" s="13"/>
      <c r="N628" s="10">
        <v>20000</v>
      </c>
      <c r="O628" s="13"/>
      <c r="P628" s="13"/>
      <c r="Q628" s="13"/>
      <c r="R628" s="13"/>
      <c r="T628" s="13">
        <f t="shared" si="202"/>
        <v>20000</v>
      </c>
    </row>
    <row r="629" spans="2:20" x14ac:dyDescent="0.25">
      <c r="B629" s="97">
        <f t="shared" si="195"/>
        <v>76</v>
      </c>
      <c r="C629" s="12"/>
      <c r="D629" s="12"/>
      <c r="E629" s="12"/>
      <c r="F629" s="12"/>
      <c r="G629" s="127"/>
      <c r="H629" s="12" t="s">
        <v>952</v>
      </c>
      <c r="I629" s="13"/>
      <c r="J629" s="13"/>
      <c r="K629" s="13"/>
      <c r="L629" s="13"/>
      <c r="M629" s="13"/>
      <c r="N629" s="10">
        <v>3500</v>
      </c>
      <c r="O629" s="13">
        <v>3500</v>
      </c>
      <c r="P629" s="13">
        <v>3500</v>
      </c>
      <c r="Q629" s="13"/>
      <c r="R629" s="13"/>
      <c r="T629" s="13">
        <f t="shared" si="202"/>
        <v>3500</v>
      </c>
    </row>
    <row r="630" spans="2:20" x14ac:dyDescent="0.25">
      <c r="B630" s="97">
        <f t="shared" si="195"/>
        <v>77</v>
      </c>
      <c r="C630" s="12"/>
      <c r="D630" s="12"/>
      <c r="E630" s="12"/>
      <c r="F630" s="12"/>
      <c r="G630" s="127"/>
      <c r="H630" s="12" t="s">
        <v>955</v>
      </c>
      <c r="I630" s="13"/>
      <c r="J630" s="13"/>
      <c r="K630" s="13"/>
      <c r="L630" s="13"/>
      <c r="M630" s="13"/>
      <c r="N630" s="10">
        <v>2200</v>
      </c>
      <c r="O630" s="13">
        <v>3000</v>
      </c>
      <c r="P630" s="13">
        <v>3000</v>
      </c>
      <c r="Q630" s="13"/>
      <c r="R630" s="13"/>
      <c r="T630" s="13">
        <f t="shared" si="202"/>
        <v>2200</v>
      </c>
    </row>
    <row r="631" spans="2:20" x14ac:dyDescent="0.25">
      <c r="B631" s="97">
        <f t="shared" si="195"/>
        <v>78</v>
      </c>
      <c r="C631" s="12"/>
      <c r="D631" s="12"/>
      <c r="E631" s="12"/>
      <c r="F631" s="12"/>
      <c r="G631" s="127"/>
      <c r="H631" s="12" t="s">
        <v>956</v>
      </c>
      <c r="I631" s="13"/>
      <c r="J631" s="13"/>
      <c r="K631" s="13"/>
      <c r="L631" s="13"/>
      <c r="M631" s="13"/>
      <c r="N631" s="10"/>
      <c r="O631" s="13">
        <v>2000</v>
      </c>
      <c r="P631" s="13">
        <v>2000</v>
      </c>
      <c r="Q631" s="13"/>
      <c r="R631" s="13"/>
      <c r="T631" s="13">
        <f t="shared" si="202"/>
        <v>0</v>
      </c>
    </row>
    <row r="632" spans="2:20" x14ac:dyDescent="0.25">
      <c r="B632" s="97">
        <f t="shared" si="195"/>
        <v>79</v>
      </c>
      <c r="C632" s="12"/>
      <c r="D632" s="12"/>
      <c r="E632" s="12"/>
      <c r="F632" s="12"/>
      <c r="G632" s="127"/>
      <c r="H632" s="12" t="s">
        <v>446</v>
      </c>
      <c r="I632" s="13"/>
      <c r="J632" s="13"/>
      <c r="K632" s="13"/>
      <c r="L632" s="13"/>
      <c r="M632" s="13"/>
      <c r="N632" s="10"/>
      <c r="O632" s="13"/>
      <c r="P632" s="13">
        <v>1700</v>
      </c>
      <c r="Q632" s="13"/>
      <c r="R632" s="13"/>
      <c r="T632" s="13">
        <f t="shared" si="202"/>
        <v>0</v>
      </c>
    </row>
    <row r="633" spans="2:20" x14ac:dyDescent="0.25">
      <c r="B633" s="97">
        <f t="shared" ref="B633:B684" si="203">B632+1</f>
        <v>80</v>
      </c>
      <c r="C633" s="12"/>
      <c r="D633" s="12"/>
      <c r="E633" s="12"/>
      <c r="F633" s="12"/>
      <c r="G633" s="127"/>
      <c r="H633" s="12" t="s">
        <v>824</v>
      </c>
      <c r="I633" s="13"/>
      <c r="J633" s="13"/>
      <c r="K633" s="13"/>
      <c r="L633" s="13"/>
      <c r="M633" s="13"/>
      <c r="N633" s="10">
        <v>700</v>
      </c>
      <c r="O633" s="13"/>
      <c r="P633" s="13">
        <v>1100</v>
      </c>
      <c r="Q633" s="13"/>
      <c r="R633" s="13"/>
      <c r="T633" s="13">
        <f t="shared" si="202"/>
        <v>700</v>
      </c>
    </row>
    <row r="634" spans="2:20" x14ac:dyDescent="0.25">
      <c r="B634" s="97">
        <f t="shared" si="203"/>
        <v>81</v>
      </c>
      <c r="C634" s="12"/>
      <c r="D634" s="12"/>
      <c r="E634" s="12"/>
      <c r="F634" s="12"/>
      <c r="G634" s="127"/>
      <c r="H634" s="12" t="s">
        <v>826</v>
      </c>
      <c r="I634" s="13"/>
      <c r="J634" s="13"/>
      <c r="K634" s="13"/>
      <c r="L634" s="13"/>
      <c r="M634" s="13"/>
      <c r="N634" s="10">
        <v>550</v>
      </c>
      <c r="O634" s="13"/>
      <c r="P634" s="13">
        <v>750</v>
      </c>
      <c r="Q634" s="13"/>
      <c r="R634" s="13"/>
      <c r="T634" s="13">
        <f t="shared" si="202"/>
        <v>550</v>
      </c>
    </row>
    <row r="635" spans="2:20" x14ac:dyDescent="0.25">
      <c r="B635" s="97">
        <f t="shared" si="203"/>
        <v>82</v>
      </c>
      <c r="C635" s="12"/>
      <c r="D635" s="12"/>
      <c r="E635" s="12"/>
      <c r="F635" s="12"/>
      <c r="G635" s="127"/>
      <c r="H635" s="12" t="s">
        <v>447</v>
      </c>
      <c r="I635" s="13"/>
      <c r="J635" s="13"/>
      <c r="K635" s="13"/>
      <c r="L635" s="13"/>
      <c r="M635" s="13"/>
      <c r="N635" s="10"/>
      <c r="O635" s="13"/>
      <c r="P635" s="13">
        <v>600</v>
      </c>
      <c r="Q635" s="13"/>
      <c r="R635" s="13"/>
      <c r="T635" s="13">
        <f t="shared" si="202"/>
        <v>0</v>
      </c>
    </row>
    <row r="636" spans="2:20" x14ac:dyDescent="0.25">
      <c r="B636" s="97">
        <f t="shared" si="203"/>
        <v>83</v>
      </c>
      <c r="C636" s="12"/>
      <c r="D636" s="12"/>
      <c r="E636" s="12"/>
      <c r="F636" s="12"/>
      <c r="G636" s="127"/>
      <c r="H636" s="12" t="s">
        <v>823</v>
      </c>
      <c r="I636" s="13"/>
      <c r="J636" s="13"/>
      <c r="K636" s="13"/>
      <c r="L636" s="13"/>
      <c r="M636" s="13"/>
      <c r="N636" s="10">
        <v>4200</v>
      </c>
      <c r="O636" s="13"/>
      <c r="P636" s="13">
        <v>4200</v>
      </c>
      <c r="Q636" s="13"/>
      <c r="R636" s="13"/>
      <c r="T636" s="13">
        <f t="shared" si="202"/>
        <v>4200</v>
      </c>
    </row>
    <row r="637" spans="2:20" x14ac:dyDescent="0.25">
      <c r="B637" s="97">
        <f t="shared" si="203"/>
        <v>84</v>
      </c>
      <c r="C637" s="12"/>
      <c r="D637" s="12"/>
      <c r="E637" s="12"/>
      <c r="F637" s="12"/>
      <c r="G637" s="127"/>
      <c r="H637" s="12" t="s">
        <v>448</v>
      </c>
      <c r="I637" s="13"/>
      <c r="J637" s="13"/>
      <c r="K637" s="13"/>
      <c r="L637" s="13"/>
      <c r="M637" s="13"/>
      <c r="N637" s="10"/>
      <c r="O637" s="13"/>
      <c r="P637" s="13">
        <v>4200</v>
      </c>
      <c r="Q637" s="13"/>
      <c r="R637" s="13"/>
      <c r="T637" s="13">
        <f t="shared" si="202"/>
        <v>0</v>
      </c>
    </row>
    <row r="638" spans="2:20" x14ac:dyDescent="0.25">
      <c r="B638" s="97">
        <f t="shared" si="203"/>
        <v>85</v>
      </c>
      <c r="C638" s="12"/>
      <c r="D638" s="12"/>
      <c r="E638" s="12"/>
      <c r="F638" s="12"/>
      <c r="G638" s="127"/>
      <c r="H638" s="146" t="s">
        <v>828</v>
      </c>
      <c r="I638" s="13"/>
      <c r="J638" s="13"/>
      <c r="K638" s="13"/>
      <c r="L638" s="13"/>
      <c r="M638" s="13"/>
      <c r="N638" s="10"/>
      <c r="O638" s="13"/>
      <c r="P638" s="13">
        <f>3500+250</f>
        <v>3750</v>
      </c>
      <c r="Q638" s="13"/>
      <c r="R638" s="13"/>
      <c r="T638" s="13">
        <f t="shared" si="202"/>
        <v>0</v>
      </c>
    </row>
    <row r="639" spans="2:20" x14ac:dyDescent="0.25">
      <c r="B639" s="97">
        <f t="shared" si="203"/>
        <v>86</v>
      </c>
      <c r="C639" s="12"/>
      <c r="D639" s="12"/>
      <c r="E639" s="12"/>
      <c r="F639" s="12"/>
      <c r="G639" s="127"/>
      <c r="H639" s="12" t="s">
        <v>449</v>
      </c>
      <c r="I639" s="13"/>
      <c r="J639" s="13"/>
      <c r="K639" s="13"/>
      <c r="L639" s="13"/>
      <c r="M639" s="13"/>
      <c r="N639" s="10"/>
      <c r="O639" s="13"/>
      <c r="P639" s="13">
        <v>1000</v>
      </c>
      <c r="Q639" s="13"/>
      <c r="R639" s="13"/>
      <c r="T639" s="13">
        <f t="shared" si="202"/>
        <v>0</v>
      </c>
    </row>
    <row r="640" spans="2:20" x14ac:dyDescent="0.25">
      <c r="B640" s="97">
        <f t="shared" si="203"/>
        <v>87</v>
      </c>
      <c r="C640" s="12"/>
      <c r="D640" s="12"/>
      <c r="E640" s="12"/>
      <c r="F640" s="12"/>
      <c r="G640" s="127"/>
      <c r="H640" s="12" t="s">
        <v>450</v>
      </c>
      <c r="I640" s="13"/>
      <c r="J640" s="13"/>
      <c r="K640" s="13"/>
      <c r="L640" s="13"/>
      <c r="M640" s="13"/>
      <c r="N640" s="10"/>
      <c r="O640" s="13"/>
      <c r="P640" s="13">
        <v>6300</v>
      </c>
      <c r="Q640" s="13"/>
      <c r="R640" s="13"/>
      <c r="T640" s="13">
        <f t="shared" si="202"/>
        <v>0</v>
      </c>
    </row>
    <row r="641" spans="2:20" x14ac:dyDescent="0.25">
      <c r="B641" s="97">
        <f t="shared" si="203"/>
        <v>88</v>
      </c>
      <c r="C641" s="12"/>
      <c r="D641" s="12"/>
      <c r="E641" s="12"/>
      <c r="F641" s="12"/>
      <c r="G641" s="127"/>
      <c r="H641" s="12" t="s">
        <v>451</v>
      </c>
      <c r="I641" s="13"/>
      <c r="J641" s="13"/>
      <c r="K641" s="13"/>
      <c r="L641" s="13"/>
      <c r="M641" s="13"/>
      <c r="N641" s="10"/>
      <c r="O641" s="13"/>
      <c r="P641" s="13">
        <v>750</v>
      </c>
      <c r="Q641" s="13"/>
      <c r="R641" s="13"/>
      <c r="T641" s="13">
        <f t="shared" si="202"/>
        <v>0</v>
      </c>
    </row>
    <row r="642" spans="2:20" x14ac:dyDescent="0.25">
      <c r="B642" s="97">
        <f t="shared" si="203"/>
        <v>89</v>
      </c>
      <c r="C642" s="12"/>
      <c r="D642" s="12"/>
      <c r="E642" s="12"/>
      <c r="F642" s="12"/>
      <c r="G642" s="127"/>
      <c r="H642" s="12" t="s">
        <v>954</v>
      </c>
      <c r="I642" s="13"/>
      <c r="J642" s="13"/>
      <c r="K642" s="13"/>
      <c r="L642" s="13"/>
      <c r="M642" s="13"/>
      <c r="N642" s="10">
        <v>1050</v>
      </c>
      <c r="O642" s="13"/>
      <c r="P642" s="13">
        <v>1050</v>
      </c>
      <c r="Q642" s="13"/>
      <c r="R642" s="13"/>
      <c r="T642" s="13">
        <f t="shared" si="202"/>
        <v>1050</v>
      </c>
    </row>
    <row r="643" spans="2:20" x14ac:dyDescent="0.25">
      <c r="B643" s="97">
        <f t="shared" si="203"/>
        <v>90</v>
      </c>
      <c r="C643" s="12"/>
      <c r="D643" s="12"/>
      <c r="E643" s="12"/>
      <c r="F643" s="12"/>
      <c r="G643" s="127"/>
      <c r="H643" s="12" t="s">
        <v>958</v>
      </c>
      <c r="I643" s="13"/>
      <c r="J643" s="13"/>
      <c r="K643" s="13"/>
      <c r="L643" s="13"/>
      <c r="M643" s="13"/>
      <c r="N643" s="10">
        <v>750</v>
      </c>
      <c r="O643" s="13"/>
      <c r="P643" s="13">
        <v>750</v>
      </c>
      <c r="Q643" s="13"/>
      <c r="R643" s="13"/>
      <c r="T643" s="13">
        <f t="shared" si="202"/>
        <v>750</v>
      </c>
    </row>
    <row r="644" spans="2:20" x14ac:dyDescent="0.25">
      <c r="B644" s="97">
        <f t="shared" si="203"/>
        <v>91</v>
      </c>
      <c r="C644" s="12"/>
      <c r="D644" s="12"/>
      <c r="E644" s="12"/>
      <c r="F644" s="12"/>
      <c r="G644" s="127"/>
      <c r="H644" s="12" t="s">
        <v>452</v>
      </c>
      <c r="I644" s="13"/>
      <c r="J644" s="13"/>
      <c r="K644" s="13"/>
      <c r="L644" s="13"/>
      <c r="M644" s="13"/>
      <c r="N644" s="10"/>
      <c r="O644" s="13"/>
      <c r="P644" s="13"/>
      <c r="Q644" s="13">
        <v>500</v>
      </c>
      <c r="R644" s="13"/>
      <c r="T644" s="13">
        <f t="shared" si="202"/>
        <v>0</v>
      </c>
    </row>
    <row r="645" spans="2:20" x14ac:dyDescent="0.25">
      <c r="B645" s="97">
        <f t="shared" si="203"/>
        <v>92</v>
      </c>
      <c r="C645" s="12"/>
      <c r="D645" s="12"/>
      <c r="E645" s="12"/>
      <c r="F645" s="12"/>
      <c r="G645" s="127"/>
      <c r="H645" s="12" t="s">
        <v>453</v>
      </c>
      <c r="I645" s="13"/>
      <c r="J645" s="13"/>
      <c r="K645" s="13"/>
      <c r="L645" s="13"/>
      <c r="M645" s="13"/>
      <c r="N645" s="10"/>
      <c r="O645" s="13"/>
      <c r="P645" s="13">
        <v>600</v>
      </c>
      <c r="Q645" s="13"/>
      <c r="R645" s="13"/>
      <c r="T645" s="13">
        <f t="shared" si="202"/>
        <v>0</v>
      </c>
    </row>
    <row r="646" spans="2:20" x14ac:dyDescent="0.25">
      <c r="B646" s="97">
        <f t="shared" si="203"/>
        <v>93</v>
      </c>
      <c r="C646" s="12"/>
      <c r="D646" s="12"/>
      <c r="E646" s="12"/>
      <c r="F646" s="12"/>
      <c r="G646" s="127"/>
      <c r="H646" s="12" t="s">
        <v>454</v>
      </c>
      <c r="I646" s="13"/>
      <c r="J646" s="13"/>
      <c r="K646" s="13"/>
      <c r="L646" s="13"/>
      <c r="M646" s="13"/>
      <c r="N646" s="10"/>
      <c r="O646" s="13"/>
      <c r="P646" s="13">
        <v>2350</v>
      </c>
      <c r="Q646" s="13"/>
      <c r="R646" s="13"/>
      <c r="T646" s="13">
        <f t="shared" si="202"/>
        <v>0</v>
      </c>
    </row>
    <row r="647" spans="2:20" x14ac:dyDescent="0.25">
      <c r="B647" s="97">
        <f t="shared" si="203"/>
        <v>94</v>
      </c>
      <c r="C647" s="12"/>
      <c r="D647" s="12"/>
      <c r="E647" s="12"/>
      <c r="F647" s="12"/>
      <c r="G647" s="127"/>
      <c r="H647" s="12" t="s">
        <v>455</v>
      </c>
      <c r="I647" s="13"/>
      <c r="J647" s="13"/>
      <c r="K647" s="13"/>
      <c r="L647" s="13"/>
      <c r="M647" s="13"/>
      <c r="N647" s="10"/>
      <c r="O647" s="13"/>
      <c r="P647" s="13">
        <v>250</v>
      </c>
      <c r="Q647" s="13"/>
      <c r="R647" s="13"/>
      <c r="T647" s="13">
        <f t="shared" si="202"/>
        <v>0</v>
      </c>
    </row>
    <row r="648" spans="2:20" x14ac:dyDescent="0.25">
      <c r="B648" s="97">
        <f t="shared" si="203"/>
        <v>95</v>
      </c>
      <c r="C648" s="12"/>
      <c r="D648" s="12"/>
      <c r="E648" s="12"/>
      <c r="F648" s="12"/>
      <c r="G648" s="127"/>
      <c r="H648" s="12" t="s">
        <v>456</v>
      </c>
      <c r="I648" s="13"/>
      <c r="J648" s="13"/>
      <c r="K648" s="13"/>
      <c r="L648" s="13"/>
      <c r="M648" s="13"/>
      <c r="N648" s="10"/>
      <c r="O648" s="13"/>
      <c r="P648" s="13">
        <v>6000</v>
      </c>
      <c r="Q648" s="13"/>
      <c r="R648" s="13"/>
      <c r="T648" s="13">
        <f t="shared" si="202"/>
        <v>0</v>
      </c>
    </row>
    <row r="649" spans="2:20" x14ac:dyDescent="0.25">
      <c r="B649" s="97">
        <f t="shared" si="203"/>
        <v>96</v>
      </c>
      <c r="C649" s="12"/>
      <c r="D649" s="12"/>
      <c r="E649" s="12"/>
      <c r="F649" s="12"/>
      <c r="G649" s="127"/>
      <c r="H649" s="91" t="s">
        <v>835</v>
      </c>
      <c r="I649" s="13"/>
      <c r="J649" s="13"/>
      <c r="K649" s="13"/>
      <c r="L649" s="13"/>
      <c r="M649" s="13"/>
      <c r="N649" s="10">
        <v>2000</v>
      </c>
      <c r="O649" s="13"/>
      <c r="P649" s="13">
        <v>2000</v>
      </c>
      <c r="Q649" s="13"/>
      <c r="R649" s="13"/>
      <c r="T649" s="13">
        <f t="shared" si="202"/>
        <v>2000</v>
      </c>
    </row>
    <row r="650" spans="2:20" x14ac:dyDescent="0.25">
      <c r="B650" s="97">
        <f t="shared" si="203"/>
        <v>97</v>
      </c>
      <c r="C650" s="12"/>
      <c r="D650" s="12"/>
      <c r="E650" s="12"/>
      <c r="F650" s="12"/>
      <c r="G650" s="127"/>
      <c r="H650" s="12" t="s">
        <v>457</v>
      </c>
      <c r="I650" s="13"/>
      <c r="J650" s="13"/>
      <c r="K650" s="13"/>
      <c r="L650" s="13"/>
      <c r="M650" s="13"/>
      <c r="N650" s="10"/>
      <c r="O650" s="13"/>
      <c r="P650" s="13">
        <v>1200</v>
      </c>
      <c r="Q650" s="13"/>
      <c r="R650" s="13"/>
      <c r="T650" s="13">
        <f t="shared" si="202"/>
        <v>0</v>
      </c>
    </row>
    <row r="651" spans="2:20" x14ac:dyDescent="0.25">
      <c r="B651" s="97">
        <f t="shared" si="203"/>
        <v>98</v>
      </c>
      <c r="C651" s="12"/>
      <c r="D651" s="12"/>
      <c r="E651" s="12"/>
      <c r="F651" s="12"/>
      <c r="G651" s="127"/>
      <c r="H651" s="12" t="s">
        <v>458</v>
      </c>
      <c r="I651" s="13"/>
      <c r="J651" s="13"/>
      <c r="K651" s="13"/>
      <c r="L651" s="13"/>
      <c r="M651" s="13"/>
      <c r="N651" s="10"/>
      <c r="O651" s="13"/>
      <c r="P651" s="13">
        <v>3000</v>
      </c>
      <c r="Q651" s="13"/>
      <c r="R651" s="13"/>
      <c r="T651" s="13">
        <f t="shared" si="202"/>
        <v>0</v>
      </c>
    </row>
    <row r="652" spans="2:20" x14ac:dyDescent="0.25">
      <c r="B652" s="97">
        <f t="shared" si="203"/>
        <v>99</v>
      </c>
      <c r="C652" s="12"/>
      <c r="D652" s="12"/>
      <c r="E652" s="12"/>
      <c r="F652" s="12"/>
      <c r="G652" s="127"/>
      <c r="H652" s="12" t="s">
        <v>459</v>
      </c>
      <c r="I652" s="13"/>
      <c r="J652" s="13"/>
      <c r="K652" s="13"/>
      <c r="L652" s="13"/>
      <c r="M652" s="13"/>
      <c r="N652" s="10"/>
      <c r="O652" s="13"/>
      <c r="P652" s="13"/>
      <c r="Q652" s="13"/>
      <c r="R652" s="13">
        <v>300</v>
      </c>
      <c r="T652" s="13">
        <f t="shared" si="202"/>
        <v>0</v>
      </c>
    </row>
    <row r="653" spans="2:20" x14ac:dyDescent="0.25">
      <c r="B653" s="97">
        <f t="shared" si="203"/>
        <v>100</v>
      </c>
      <c r="C653" s="12"/>
      <c r="D653" s="12"/>
      <c r="E653" s="12"/>
      <c r="F653" s="12"/>
      <c r="G653" s="127"/>
      <c r="H653" s="12" t="s">
        <v>460</v>
      </c>
      <c r="I653" s="13"/>
      <c r="J653" s="13"/>
      <c r="K653" s="13"/>
      <c r="L653" s="13"/>
      <c r="M653" s="13"/>
      <c r="N653" s="10"/>
      <c r="O653" s="13"/>
      <c r="P653" s="13"/>
      <c r="Q653" s="13"/>
      <c r="R653" s="13">
        <v>1100</v>
      </c>
      <c r="T653" s="13">
        <f t="shared" si="202"/>
        <v>0</v>
      </c>
    </row>
    <row r="654" spans="2:20" x14ac:dyDescent="0.25">
      <c r="B654" s="97">
        <f t="shared" si="203"/>
        <v>101</v>
      </c>
      <c r="C654" s="12"/>
      <c r="D654" s="12"/>
      <c r="E654" s="12"/>
      <c r="F654" s="12"/>
      <c r="G654" s="127"/>
      <c r="H654" s="12" t="s">
        <v>872</v>
      </c>
      <c r="I654" s="13"/>
      <c r="J654" s="13"/>
      <c r="K654" s="13"/>
      <c r="L654" s="13"/>
      <c r="M654" s="13"/>
      <c r="N654" s="10">
        <v>6000</v>
      </c>
      <c r="O654" s="13"/>
      <c r="P654" s="13"/>
      <c r="Q654" s="13"/>
      <c r="R654" s="13"/>
      <c r="T654" s="13">
        <f t="shared" si="202"/>
        <v>6000</v>
      </c>
    </row>
    <row r="655" spans="2:20" x14ac:dyDescent="0.25">
      <c r="B655" s="97">
        <f t="shared" si="203"/>
        <v>102</v>
      </c>
      <c r="C655" s="12"/>
      <c r="D655" s="12"/>
      <c r="E655" s="12"/>
      <c r="F655" s="12"/>
      <c r="G655" s="127"/>
      <c r="H655" s="12" t="s">
        <v>890</v>
      </c>
      <c r="I655" s="13"/>
      <c r="J655" s="13"/>
      <c r="K655" s="13"/>
      <c r="L655" s="13"/>
      <c r="M655" s="13"/>
      <c r="N655" s="10">
        <v>2000</v>
      </c>
      <c r="O655" s="13"/>
      <c r="P655" s="13"/>
      <c r="Q655" s="13"/>
      <c r="R655" s="13"/>
      <c r="T655" s="13">
        <f t="shared" si="202"/>
        <v>2000</v>
      </c>
    </row>
    <row r="656" spans="2:20" x14ac:dyDescent="0.25">
      <c r="B656" s="97">
        <f t="shared" si="203"/>
        <v>103</v>
      </c>
      <c r="C656" s="12"/>
      <c r="D656" s="12"/>
      <c r="E656" s="12"/>
      <c r="F656" s="12"/>
      <c r="G656" s="127"/>
      <c r="H656" s="91" t="s">
        <v>831</v>
      </c>
      <c r="I656" s="13"/>
      <c r="J656" s="13"/>
      <c r="K656" s="13"/>
      <c r="L656" s="13"/>
      <c r="M656" s="13"/>
      <c r="N656" s="10">
        <v>500</v>
      </c>
      <c r="O656" s="13"/>
      <c r="P656" s="13">
        <v>500</v>
      </c>
      <c r="Q656" s="13"/>
      <c r="R656" s="13"/>
      <c r="T656" s="13">
        <f t="shared" si="202"/>
        <v>500</v>
      </c>
    </row>
    <row r="657" spans="2:20" x14ac:dyDescent="0.25">
      <c r="B657" s="97">
        <f t="shared" si="203"/>
        <v>104</v>
      </c>
      <c r="C657" s="12"/>
      <c r="D657" s="12"/>
      <c r="E657" s="12"/>
      <c r="F657" s="12"/>
      <c r="G657" s="127"/>
      <c r="H657" s="12" t="s">
        <v>777</v>
      </c>
      <c r="I657" s="13"/>
      <c r="J657" s="13"/>
      <c r="K657" s="13"/>
      <c r="L657" s="13"/>
      <c r="M657" s="13"/>
      <c r="N657" s="10"/>
      <c r="O657" s="13"/>
      <c r="P657" s="13">
        <v>850</v>
      </c>
      <c r="Q657" s="13"/>
      <c r="R657" s="13"/>
      <c r="T657" s="13">
        <f t="shared" si="202"/>
        <v>0</v>
      </c>
    </row>
    <row r="658" spans="2:20" x14ac:dyDescent="0.25">
      <c r="B658" s="97">
        <f t="shared" si="203"/>
        <v>105</v>
      </c>
      <c r="C658" s="9"/>
      <c r="D658" s="9"/>
      <c r="E658" s="9"/>
      <c r="F658" s="54" t="s">
        <v>377</v>
      </c>
      <c r="G658" s="126">
        <v>717</v>
      </c>
      <c r="H658" s="9" t="s">
        <v>327</v>
      </c>
      <c r="I658" s="10"/>
      <c r="J658" s="10"/>
      <c r="K658" s="10"/>
      <c r="L658" s="10"/>
      <c r="M658" s="10"/>
      <c r="N658" s="10">
        <f>SUM(N659:N757)</f>
        <v>5374728</v>
      </c>
      <c r="O658" s="10">
        <f>SUM(O659:O746)</f>
        <v>1334737</v>
      </c>
      <c r="P658" s="10">
        <f>SUM(P659:P757)</f>
        <v>2731245</v>
      </c>
      <c r="Q658" s="10">
        <f>SUM(Q659:Q746)</f>
        <v>348094.23</v>
      </c>
      <c r="R658" s="10">
        <f>SUM(R659:R746)</f>
        <v>852517.24</v>
      </c>
      <c r="T658" s="10">
        <f t="shared" si="202"/>
        <v>5374728</v>
      </c>
    </row>
    <row r="659" spans="2:20" x14ac:dyDescent="0.25">
      <c r="B659" s="97">
        <f t="shared" si="203"/>
        <v>106</v>
      </c>
      <c r="C659" s="9"/>
      <c r="D659" s="9"/>
      <c r="E659" s="9"/>
      <c r="F659" s="54"/>
      <c r="G659" s="126"/>
      <c r="H659" s="12" t="s">
        <v>889</v>
      </c>
      <c r="I659" s="10"/>
      <c r="J659" s="10"/>
      <c r="K659" s="10"/>
      <c r="L659" s="10"/>
      <c r="M659" s="10"/>
      <c r="N659" s="10">
        <v>482000</v>
      </c>
      <c r="O659" s="10"/>
      <c r="P659" s="10"/>
      <c r="Q659" s="10"/>
      <c r="R659" s="10"/>
      <c r="T659" s="10">
        <f t="shared" si="202"/>
        <v>482000</v>
      </c>
    </row>
    <row r="660" spans="2:20" x14ac:dyDescent="0.25">
      <c r="B660" s="97">
        <f t="shared" si="203"/>
        <v>107</v>
      </c>
      <c r="C660" s="9"/>
      <c r="D660" s="9"/>
      <c r="E660" s="9"/>
      <c r="F660" s="54"/>
      <c r="G660" s="126"/>
      <c r="H660" s="12" t="s">
        <v>461</v>
      </c>
      <c r="I660" s="10"/>
      <c r="J660" s="10"/>
      <c r="K660" s="10"/>
      <c r="L660" s="10"/>
      <c r="M660" s="10"/>
      <c r="N660" s="10">
        <f>60000-20000</f>
        <v>40000</v>
      </c>
      <c r="O660" s="10"/>
      <c r="P660" s="10"/>
      <c r="Q660" s="10"/>
      <c r="R660" s="10"/>
      <c r="T660" s="10">
        <f t="shared" si="202"/>
        <v>40000</v>
      </c>
    </row>
    <row r="661" spans="2:20" x14ac:dyDescent="0.25">
      <c r="B661" s="97">
        <f t="shared" si="203"/>
        <v>108</v>
      </c>
      <c r="C661" s="9"/>
      <c r="D661" s="9"/>
      <c r="E661" s="9"/>
      <c r="F661" s="54"/>
      <c r="G661" s="126"/>
      <c r="H661" s="12" t="s">
        <v>628</v>
      </c>
      <c r="I661" s="10"/>
      <c r="J661" s="10"/>
      <c r="K661" s="10"/>
      <c r="L661" s="10"/>
      <c r="M661" s="10"/>
      <c r="N661" s="10">
        <v>3120000</v>
      </c>
      <c r="O661" s="10"/>
      <c r="P661" s="10"/>
      <c r="Q661" s="10"/>
      <c r="R661" s="10"/>
      <c r="T661" s="10">
        <f t="shared" si="202"/>
        <v>3120000</v>
      </c>
    </row>
    <row r="662" spans="2:20" x14ac:dyDescent="0.25">
      <c r="B662" s="97">
        <f t="shared" si="203"/>
        <v>109</v>
      </c>
      <c r="C662" s="9"/>
      <c r="D662" s="9"/>
      <c r="E662" s="9"/>
      <c r="F662" s="54"/>
      <c r="G662" s="126"/>
      <c r="H662" s="91" t="s">
        <v>855</v>
      </c>
      <c r="I662" s="10"/>
      <c r="J662" s="10"/>
      <c r="K662" s="10"/>
      <c r="L662" s="10"/>
      <c r="M662" s="10"/>
      <c r="N662" s="10">
        <v>260000</v>
      </c>
      <c r="O662" s="10"/>
      <c r="P662" s="10"/>
      <c r="Q662" s="10"/>
      <c r="R662" s="10"/>
      <c r="T662" s="10">
        <f t="shared" si="202"/>
        <v>260000</v>
      </c>
    </row>
    <row r="663" spans="2:20" x14ac:dyDescent="0.25">
      <c r="B663" s="97">
        <f>B662+1</f>
        <v>110</v>
      </c>
      <c r="C663" s="12"/>
      <c r="D663" s="12"/>
      <c r="E663" s="12"/>
      <c r="F663" s="12"/>
      <c r="G663" s="127"/>
      <c r="H663" s="12" t="s">
        <v>433</v>
      </c>
      <c r="I663" s="13"/>
      <c r="J663" s="13"/>
      <c r="K663" s="13"/>
      <c r="L663" s="13"/>
      <c r="M663" s="13"/>
      <c r="N663" s="10"/>
      <c r="O663" s="13"/>
      <c r="P663" s="13"/>
      <c r="Q663" s="13">
        <v>3778.44</v>
      </c>
      <c r="R663" s="13"/>
      <c r="T663" s="13">
        <f t="shared" si="202"/>
        <v>0</v>
      </c>
    </row>
    <row r="664" spans="2:20" x14ac:dyDescent="0.25">
      <c r="B664" s="97">
        <f t="shared" si="203"/>
        <v>111</v>
      </c>
      <c r="C664" s="12"/>
      <c r="D664" s="12"/>
      <c r="E664" s="12"/>
      <c r="F664" s="12"/>
      <c r="G664" s="127"/>
      <c r="H664" s="12" t="s">
        <v>422</v>
      </c>
      <c r="I664" s="13"/>
      <c r="J664" s="13"/>
      <c r="K664" s="13"/>
      <c r="L664" s="13"/>
      <c r="M664" s="13"/>
      <c r="N664" s="10"/>
      <c r="O664" s="13"/>
      <c r="P664" s="13"/>
      <c r="Q664" s="13"/>
      <c r="R664" s="13">
        <v>73630.44</v>
      </c>
      <c r="T664" s="13">
        <f t="shared" si="202"/>
        <v>0</v>
      </c>
    </row>
    <row r="665" spans="2:20" x14ac:dyDescent="0.25">
      <c r="B665" s="97">
        <f t="shared" si="203"/>
        <v>112</v>
      </c>
      <c r="C665" s="97"/>
      <c r="D665" s="12"/>
      <c r="E665" s="12"/>
      <c r="F665" s="12"/>
      <c r="G665" s="127"/>
      <c r="H665" s="12" t="s">
        <v>462</v>
      </c>
      <c r="I665" s="13"/>
      <c r="J665" s="13"/>
      <c r="K665" s="13"/>
      <c r="L665" s="13"/>
      <c r="M665" s="13"/>
      <c r="N665" s="10"/>
      <c r="O665" s="13"/>
      <c r="P665" s="13"/>
      <c r="Q665" s="13"/>
      <c r="R665" s="13">
        <v>19574</v>
      </c>
      <c r="T665" s="13">
        <f t="shared" si="202"/>
        <v>0</v>
      </c>
    </row>
    <row r="666" spans="2:20" x14ac:dyDescent="0.25">
      <c r="B666" s="97">
        <f t="shared" si="203"/>
        <v>113</v>
      </c>
      <c r="C666" s="12"/>
      <c r="D666" s="12"/>
      <c r="E666" s="12"/>
      <c r="F666" s="12"/>
      <c r="G666" s="127"/>
      <c r="H666" s="12" t="s">
        <v>463</v>
      </c>
      <c r="I666" s="13"/>
      <c r="J666" s="13"/>
      <c r="K666" s="13"/>
      <c r="L666" s="13"/>
      <c r="M666" s="13"/>
      <c r="N666" s="10"/>
      <c r="O666" s="13"/>
      <c r="P666" s="13"/>
      <c r="Q666" s="13"/>
      <c r="R666" s="13">
        <v>636</v>
      </c>
      <c r="T666" s="13">
        <f t="shared" si="202"/>
        <v>0</v>
      </c>
    </row>
    <row r="667" spans="2:20" x14ac:dyDescent="0.25">
      <c r="B667" s="97">
        <f t="shared" si="203"/>
        <v>114</v>
      </c>
      <c r="C667" s="12"/>
      <c r="D667" s="12"/>
      <c r="E667" s="12"/>
      <c r="F667" s="12"/>
      <c r="G667" s="127"/>
      <c r="H667" s="12" t="s">
        <v>464</v>
      </c>
      <c r="I667" s="13"/>
      <c r="J667" s="13"/>
      <c r="K667" s="13"/>
      <c r="L667" s="13"/>
      <c r="M667" s="13"/>
      <c r="N667" s="10"/>
      <c r="O667" s="13"/>
      <c r="P667" s="13"/>
      <c r="Q667" s="13"/>
      <c r="R667" s="13">
        <v>78802</v>
      </c>
      <c r="T667" s="13">
        <f t="shared" si="202"/>
        <v>0</v>
      </c>
    </row>
    <row r="668" spans="2:20" x14ac:dyDescent="0.25">
      <c r="B668" s="97">
        <f t="shared" si="203"/>
        <v>115</v>
      </c>
      <c r="C668" s="12"/>
      <c r="D668" s="12"/>
      <c r="E668" s="12"/>
      <c r="F668" s="12"/>
      <c r="G668" s="127"/>
      <c r="H668" s="12" t="s">
        <v>465</v>
      </c>
      <c r="I668" s="13"/>
      <c r="J668" s="13"/>
      <c r="K668" s="13"/>
      <c r="L668" s="13"/>
      <c r="M668" s="13"/>
      <c r="N668" s="10"/>
      <c r="O668" s="13"/>
      <c r="P668" s="13"/>
      <c r="Q668" s="13"/>
      <c r="R668" s="13">
        <v>15270</v>
      </c>
      <c r="T668" s="13">
        <f t="shared" si="202"/>
        <v>0</v>
      </c>
    </row>
    <row r="669" spans="2:20" x14ac:dyDescent="0.25">
      <c r="B669" s="97">
        <f t="shared" si="203"/>
        <v>116</v>
      </c>
      <c r="C669" s="12"/>
      <c r="D669" s="12"/>
      <c r="E669" s="12"/>
      <c r="F669" s="12"/>
      <c r="G669" s="127"/>
      <c r="H669" s="12" t="s">
        <v>466</v>
      </c>
      <c r="I669" s="13"/>
      <c r="J669" s="13"/>
      <c r="K669" s="13"/>
      <c r="L669" s="13"/>
      <c r="M669" s="13"/>
      <c r="N669" s="10"/>
      <c r="O669" s="13"/>
      <c r="P669" s="13"/>
      <c r="Q669" s="13"/>
      <c r="R669" s="13">
        <v>240429</v>
      </c>
      <c r="T669" s="13">
        <f t="shared" si="202"/>
        <v>0</v>
      </c>
    </row>
    <row r="670" spans="2:20" x14ac:dyDescent="0.25">
      <c r="B670" s="97">
        <f t="shared" si="203"/>
        <v>117</v>
      </c>
      <c r="C670" s="12"/>
      <c r="D670" s="12"/>
      <c r="E670" s="12"/>
      <c r="F670" s="12"/>
      <c r="G670" s="127"/>
      <c r="H670" s="12" t="s">
        <v>467</v>
      </c>
      <c r="I670" s="13"/>
      <c r="J670" s="13"/>
      <c r="K670" s="13"/>
      <c r="L670" s="13"/>
      <c r="M670" s="13"/>
      <c r="N670" s="10"/>
      <c r="O670" s="13"/>
      <c r="P670" s="13"/>
      <c r="Q670" s="13"/>
      <c r="R670" s="13">
        <v>17739</v>
      </c>
      <c r="T670" s="13">
        <f t="shared" si="202"/>
        <v>0</v>
      </c>
    </row>
    <row r="671" spans="2:20" x14ac:dyDescent="0.25">
      <c r="B671" s="97">
        <f t="shared" si="203"/>
        <v>118</v>
      </c>
      <c r="C671" s="12"/>
      <c r="D671" s="12"/>
      <c r="E671" s="12"/>
      <c r="F671" s="12"/>
      <c r="G671" s="127"/>
      <c r="H671" s="12" t="s">
        <v>468</v>
      </c>
      <c r="I671" s="13"/>
      <c r="J671" s="13"/>
      <c r="K671" s="13"/>
      <c r="L671" s="13"/>
      <c r="M671" s="13"/>
      <c r="N671" s="10"/>
      <c r="O671" s="13"/>
      <c r="P671" s="13"/>
      <c r="Q671" s="13"/>
      <c r="R671" s="13">
        <v>18011</v>
      </c>
      <c r="T671" s="13">
        <f t="shared" si="202"/>
        <v>0</v>
      </c>
    </row>
    <row r="672" spans="2:20" x14ac:dyDescent="0.25">
      <c r="B672" s="97">
        <f t="shared" si="203"/>
        <v>119</v>
      </c>
      <c r="C672" s="12"/>
      <c r="D672" s="12"/>
      <c r="E672" s="12"/>
      <c r="F672" s="12"/>
      <c r="G672" s="127"/>
      <c r="H672" s="12" t="s">
        <v>469</v>
      </c>
      <c r="I672" s="13"/>
      <c r="J672" s="13"/>
      <c r="K672" s="13"/>
      <c r="L672" s="13"/>
      <c r="M672" s="13"/>
      <c r="N672" s="10"/>
      <c r="O672" s="13"/>
      <c r="P672" s="13"/>
      <c r="Q672" s="13"/>
      <c r="R672" s="13">
        <v>13800</v>
      </c>
      <c r="T672" s="13">
        <f t="shared" si="202"/>
        <v>0</v>
      </c>
    </row>
    <row r="673" spans="2:20" x14ac:dyDescent="0.25">
      <c r="B673" s="97">
        <f t="shared" si="203"/>
        <v>120</v>
      </c>
      <c r="C673" s="12"/>
      <c r="D673" s="12"/>
      <c r="E673" s="12"/>
      <c r="F673" s="12"/>
      <c r="G673" s="127"/>
      <c r="H673" s="12" t="s">
        <v>470</v>
      </c>
      <c r="I673" s="13"/>
      <c r="J673" s="13"/>
      <c r="K673" s="13"/>
      <c r="L673" s="13"/>
      <c r="M673" s="13"/>
      <c r="N673" s="10"/>
      <c r="O673" s="13"/>
      <c r="P673" s="13"/>
      <c r="Q673" s="13"/>
      <c r="R673" s="13">
        <v>25349</v>
      </c>
      <c r="T673" s="13">
        <f t="shared" si="202"/>
        <v>0</v>
      </c>
    </row>
    <row r="674" spans="2:20" x14ac:dyDescent="0.25">
      <c r="B674" s="97">
        <f t="shared" si="203"/>
        <v>121</v>
      </c>
      <c r="C674" s="12"/>
      <c r="D674" s="12"/>
      <c r="E674" s="12"/>
      <c r="F674" s="12"/>
      <c r="G674" s="127"/>
      <c r="H674" s="12" t="s">
        <v>471</v>
      </c>
      <c r="I674" s="13"/>
      <c r="J674" s="13"/>
      <c r="K674" s="13"/>
      <c r="L674" s="13"/>
      <c r="M674" s="13"/>
      <c r="N674" s="10"/>
      <c r="O674" s="13"/>
      <c r="P674" s="13"/>
      <c r="Q674" s="13"/>
      <c r="R674" s="13">
        <v>1649.8</v>
      </c>
      <c r="T674" s="13">
        <f t="shared" si="202"/>
        <v>0</v>
      </c>
    </row>
    <row r="675" spans="2:20" x14ac:dyDescent="0.25">
      <c r="B675" s="97">
        <f t="shared" si="203"/>
        <v>122</v>
      </c>
      <c r="C675" s="12"/>
      <c r="D675" s="12"/>
      <c r="E675" s="12"/>
      <c r="F675" s="12"/>
      <c r="G675" s="127"/>
      <c r="H675" s="12" t="s">
        <v>426</v>
      </c>
      <c r="I675" s="13"/>
      <c r="J675" s="13"/>
      <c r="K675" s="13"/>
      <c r="L675" s="13"/>
      <c r="M675" s="13"/>
      <c r="N675" s="10"/>
      <c r="O675" s="13">
        <v>54988</v>
      </c>
      <c r="P675" s="13">
        <v>64988</v>
      </c>
      <c r="Q675" s="13">
        <v>192</v>
      </c>
      <c r="R675" s="13">
        <v>7077</v>
      </c>
      <c r="T675" s="13">
        <f t="shared" si="202"/>
        <v>0</v>
      </c>
    </row>
    <row r="676" spans="2:20" x14ac:dyDescent="0.25">
      <c r="B676" s="97">
        <f t="shared" si="203"/>
        <v>123</v>
      </c>
      <c r="C676" s="12"/>
      <c r="D676" s="12"/>
      <c r="E676" s="12"/>
      <c r="F676" s="12"/>
      <c r="G676" s="127"/>
      <c r="H676" s="12" t="s">
        <v>427</v>
      </c>
      <c r="I676" s="13"/>
      <c r="J676" s="13"/>
      <c r="K676" s="13"/>
      <c r="L676" s="13"/>
      <c r="M676" s="13"/>
      <c r="N676" s="10"/>
      <c r="O676" s="13"/>
      <c r="P676" s="13"/>
      <c r="Q676" s="13"/>
      <c r="R676" s="13">
        <f>29999+66000</f>
        <v>95999</v>
      </c>
      <c r="T676" s="13">
        <f t="shared" si="202"/>
        <v>0</v>
      </c>
    </row>
    <row r="677" spans="2:20" x14ac:dyDescent="0.25">
      <c r="B677" s="97">
        <f t="shared" si="203"/>
        <v>124</v>
      </c>
      <c r="C677" s="12"/>
      <c r="D677" s="12"/>
      <c r="E677" s="12"/>
      <c r="F677" s="12"/>
      <c r="G677" s="127"/>
      <c r="H677" s="12" t="s">
        <v>428</v>
      </c>
      <c r="I677" s="13"/>
      <c r="J677" s="13"/>
      <c r="K677" s="13"/>
      <c r="L677" s="13"/>
      <c r="M677" s="13"/>
      <c r="N677" s="10"/>
      <c r="O677" s="13"/>
      <c r="P677" s="13"/>
      <c r="Q677" s="13"/>
      <c r="R677" s="13">
        <v>45238</v>
      </c>
      <c r="T677" s="13">
        <f t="shared" si="202"/>
        <v>0</v>
      </c>
    </row>
    <row r="678" spans="2:20" x14ac:dyDescent="0.25">
      <c r="B678" s="97">
        <f t="shared" si="203"/>
        <v>125</v>
      </c>
      <c r="C678" s="12"/>
      <c r="D678" s="12"/>
      <c r="E678" s="12"/>
      <c r="F678" s="12"/>
      <c r="G678" s="127"/>
      <c r="H678" s="12" t="s">
        <v>429</v>
      </c>
      <c r="I678" s="13"/>
      <c r="J678" s="13"/>
      <c r="K678" s="13"/>
      <c r="L678" s="13"/>
      <c r="M678" s="13"/>
      <c r="N678" s="10"/>
      <c r="O678" s="13"/>
      <c r="P678" s="13"/>
      <c r="Q678" s="13">
        <v>2020.92</v>
      </c>
      <c r="R678" s="13">
        <v>48954</v>
      </c>
      <c r="T678" s="13">
        <f t="shared" si="202"/>
        <v>0</v>
      </c>
    </row>
    <row r="679" spans="2:20" x14ac:dyDescent="0.25">
      <c r="B679" s="97">
        <f t="shared" si="203"/>
        <v>126</v>
      </c>
      <c r="C679" s="12"/>
      <c r="D679" s="12"/>
      <c r="E679" s="12"/>
      <c r="F679" s="12"/>
      <c r="G679" s="127"/>
      <c r="H679" s="12" t="s">
        <v>430</v>
      </c>
      <c r="I679" s="13"/>
      <c r="J679" s="13"/>
      <c r="K679" s="13"/>
      <c r="L679" s="13"/>
      <c r="M679" s="13"/>
      <c r="N679" s="10"/>
      <c r="O679" s="13"/>
      <c r="P679" s="13"/>
      <c r="Q679" s="13"/>
      <c r="R679" s="13">
        <v>38959</v>
      </c>
      <c r="T679" s="13">
        <f t="shared" si="202"/>
        <v>0</v>
      </c>
    </row>
    <row r="680" spans="2:20" x14ac:dyDescent="0.25">
      <c r="B680" s="97">
        <f t="shared" si="203"/>
        <v>127</v>
      </c>
      <c r="C680" s="12"/>
      <c r="D680" s="12"/>
      <c r="E680" s="12"/>
      <c r="F680" s="12"/>
      <c r="G680" s="127"/>
      <c r="H680" s="12" t="s">
        <v>472</v>
      </c>
      <c r="I680" s="13"/>
      <c r="J680" s="13"/>
      <c r="K680" s="13"/>
      <c r="L680" s="13"/>
      <c r="M680" s="13"/>
      <c r="N680" s="10"/>
      <c r="O680" s="13"/>
      <c r="P680" s="13"/>
      <c r="Q680" s="13"/>
      <c r="R680" s="13">
        <v>805</v>
      </c>
      <c r="T680" s="13">
        <f t="shared" si="202"/>
        <v>0</v>
      </c>
    </row>
    <row r="681" spans="2:20" x14ac:dyDescent="0.25">
      <c r="B681" s="97">
        <f t="shared" si="203"/>
        <v>128</v>
      </c>
      <c r="C681" s="12"/>
      <c r="D681" s="12"/>
      <c r="E681" s="12"/>
      <c r="F681" s="12"/>
      <c r="G681" s="127"/>
      <c r="H681" s="12" t="s">
        <v>473</v>
      </c>
      <c r="I681" s="13"/>
      <c r="J681" s="13"/>
      <c r="K681" s="13"/>
      <c r="L681" s="13"/>
      <c r="M681" s="13"/>
      <c r="N681" s="10"/>
      <c r="O681" s="13"/>
      <c r="P681" s="13"/>
      <c r="Q681" s="13"/>
      <c r="R681" s="13">
        <v>496</v>
      </c>
      <c r="T681" s="13">
        <f t="shared" si="202"/>
        <v>0</v>
      </c>
    </row>
    <row r="682" spans="2:20" x14ac:dyDescent="0.25">
      <c r="B682" s="97">
        <f t="shared" si="203"/>
        <v>129</v>
      </c>
      <c r="C682" s="12"/>
      <c r="D682" s="12"/>
      <c r="E682" s="12"/>
      <c r="F682" s="12"/>
      <c r="G682" s="127"/>
      <c r="H682" s="91" t="s">
        <v>836</v>
      </c>
      <c r="I682" s="13"/>
      <c r="J682" s="13"/>
      <c r="K682" s="13"/>
      <c r="L682" s="13"/>
      <c r="M682" s="13"/>
      <c r="N682" s="10">
        <v>83299</v>
      </c>
      <c r="O682" s="13">
        <v>297675</v>
      </c>
      <c r="P682" s="13">
        <v>83299</v>
      </c>
      <c r="Q682" s="13"/>
      <c r="R682" s="13"/>
      <c r="T682" s="13">
        <f t="shared" si="202"/>
        <v>83299</v>
      </c>
    </row>
    <row r="683" spans="2:20" x14ac:dyDescent="0.25">
      <c r="B683" s="97">
        <f t="shared" si="203"/>
        <v>130</v>
      </c>
      <c r="C683" s="12"/>
      <c r="D683" s="12"/>
      <c r="E683" s="12"/>
      <c r="F683" s="12"/>
      <c r="G683" s="127"/>
      <c r="H683" s="12" t="s">
        <v>432</v>
      </c>
      <c r="I683" s="13"/>
      <c r="J683" s="13"/>
      <c r="K683" s="13"/>
      <c r="L683" s="13"/>
      <c r="M683" s="13"/>
      <c r="N683" s="10"/>
      <c r="O683" s="13">
        <v>86899</v>
      </c>
      <c r="P683" s="13">
        <v>113899</v>
      </c>
      <c r="Q683" s="13">
        <v>7423.87</v>
      </c>
      <c r="R683" s="13"/>
      <c r="T683" s="13">
        <f t="shared" si="202"/>
        <v>0</v>
      </c>
    </row>
    <row r="684" spans="2:20" x14ac:dyDescent="0.25">
      <c r="B684" s="97">
        <f t="shared" si="203"/>
        <v>131</v>
      </c>
      <c r="C684" s="12"/>
      <c r="D684" s="12"/>
      <c r="E684" s="12"/>
      <c r="F684" s="12"/>
      <c r="G684" s="127"/>
      <c r="H684" s="12" t="s">
        <v>434</v>
      </c>
      <c r="I684" s="13"/>
      <c r="J684" s="13"/>
      <c r="K684" s="13"/>
      <c r="L684" s="13"/>
      <c r="M684" s="13"/>
      <c r="N684" s="10"/>
      <c r="O684" s="13">
        <v>17026</v>
      </c>
      <c r="P684" s="13">
        <v>29526</v>
      </c>
      <c r="Q684" s="13">
        <v>974</v>
      </c>
      <c r="R684" s="13"/>
      <c r="T684" s="13">
        <f t="shared" si="202"/>
        <v>0</v>
      </c>
    </row>
    <row r="685" spans="2:20" x14ac:dyDescent="0.25">
      <c r="B685" s="97">
        <f t="shared" ref="B685:B748" si="204">B684+1</f>
        <v>132</v>
      </c>
      <c r="C685" s="12"/>
      <c r="D685" s="12"/>
      <c r="E685" s="12"/>
      <c r="F685" s="12"/>
      <c r="G685" s="127"/>
      <c r="H685" s="12" t="s">
        <v>474</v>
      </c>
      <c r="I685" s="13"/>
      <c r="J685" s="13"/>
      <c r="K685" s="13"/>
      <c r="L685" s="13"/>
      <c r="M685" s="13"/>
      <c r="N685" s="10"/>
      <c r="O685" s="13"/>
      <c r="P685" s="13"/>
      <c r="Q685" s="13"/>
      <c r="R685" s="13"/>
      <c r="T685" s="13">
        <f t="shared" si="202"/>
        <v>0</v>
      </c>
    </row>
    <row r="686" spans="2:20" x14ac:dyDescent="0.25">
      <c r="B686" s="97">
        <f t="shared" si="204"/>
        <v>133</v>
      </c>
      <c r="C686" s="12"/>
      <c r="D686" s="12"/>
      <c r="E686" s="12"/>
      <c r="F686" s="12"/>
      <c r="G686" s="127"/>
      <c r="H686" s="12" t="s">
        <v>435</v>
      </c>
      <c r="I686" s="13"/>
      <c r="J686" s="13"/>
      <c r="K686" s="13"/>
      <c r="L686" s="13"/>
      <c r="M686" s="13"/>
      <c r="N686" s="10"/>
      <c r="O686" s="13"/>
      <c r="P686" s="13">
        <v>130</v>
      </c>
      <c r="Q686" s="13">
        <v>7307</v>
      </c>
      <c r="R686" s="13"/>
      <c r="T686" s="13">
        <f t="shared" ref="T686:T749" si="205">N686+I686</f>
        <v>0</v>
      </c>
    </row>
    <row r="687" spans="2:20" x14ac:dyDescent="0.25">
      <c r="B687" s="97">
        <f t="shared" si="204"/>
        <v>134</v>
      </c>
      <c r="C687" s="12"/>
      <c r="D687" s="12"/>
      <c r="E687" s="12"/>
      <c r="F687" s="12"/>
      <c r="G687" s="127"/>
      <c r="H687" s="91" t="s">
        <v>833</v>
      </c>
      <c r="I687" s="13"/>
      <c r="J687" s="13"/>
      <c r="K687" s="13"/>
      <c r="L687" s="13"/>
      <c r="M687" s="13"/>
      <c r="N687" s="10">
        <v>39414</v>
      </c>
      <c r="O687" s="13">
        <v>39414</v>
      </c>
      <c r="P687" s="13">
        <v>39414</v>
      </c>
      <c r="Q687" s="13">
        <v>586</v>
      </c>
      <c r="R687" s="13"/>
      <c r="T687" s="13">
        <f t="shared" si="205"/>
        <v>39414</v>
      </c>
    </row>
    <row r="688" spans="2:20" x14ac:dyDescent="0.25">
      <c r="B688" s="97">
        <f t="shared" si="204"/>
        <v>135</v>
      </c>
      <c r="C688" s="12"/>
      <c r="D688" s="12"/>
      <c r="E688" s="12"/>
      <c r="F688" s="12"/>
      <c r="G688" s="127"/>
      <c r="H688" s="12" t="s">
        <v>475</v>
      </c>
      <c r="I688" s="13"/>
      <c r="J688" s="13"/>
      <c r="K688" s="13"/>
      <c r="L688" s="13"/>
      <c r="M688" s="13"/>
      <c r="N688" s="10"/>
      <c r="O688" s="13"/>
      <c r="P688" s="13"/>
      <c r="Q688" s="13">
        <v>11716</v>
      </c>
      <c r="R688" s="13"/>
      <c r="T688" s="13">
        <f t="shared" si="205"/>
        <v>0</v>
      </c>
    </row>
    <row r="689" spans="2:20" x14ac:dyDescent="0.25">
      <c r="B689" s="97">
        <f t="shared" si="204"/>
        <v>136</v>
      </c>
      <c r="C689" s="12"/>
      <c r="D689" s="12"/>
      <c r="E689" s="12"/>
      <c r="F689" s="12"/>
      <c r="G689" s="127"/>
      <c r="H689" s="12" t="s">
        <v>476</v>
      </c>
      <c r="I689" s="13"/>
      <c r="J689" s="13"/>
      <c r="K689" s="13"/>
      <c r="L689" s="13"/>
      <c r="M689" s="13"/>
      <c r="N689" s="10"/>
      <c r="O689" s="13"/>
      <c r="P689" s="13"/>
      <c r="Q689" s="13">
        <v>2950</v>
      </c>
      <c r="R689" s="13"/>
      <c r="T689" s="13">
        <f t="shared" si="205"/>
        <v>0</v>
      </c>
    </row>
    <row r="690" spans="2:20" x14ac:dyDescent="0.25">
      <c r="B690" s="97">
        <f t="shared" si="204"/>
        <v>137</v>
      </c>
      <c r="C690" s="12"/>
      <c r="D690" s="12"/>
      <c r="E690" s="12"/>
      <c r="F690" s="12"/>
      <c r="G690" s="127"/>
      <c r="H690" s="12" t="s">
        <v>477</v>
      </c>
      <c r="I690" s="13"/>
      <c r="J690" s="13"/>
      <c r="K690" s="13"/>
      <c r="L690" s="13"/>
      <c r="M690" s="13"/>
      <c r="N690" s="10"/>
      <c r="O690" s="13"/>
      <c r="P690" s="13"/>
      <c r="Q690" s="13"/>
      <c r="R690" s="13"/>
      <c r="T690" s="13">
        <f t="shared" si="205"/>
        <v>0</v>
      </c>
    </row>
    <row r="691" spans="2:20" x14ac:dyDescent="0.25">
      <c r="B691" s="97">
        <f t="shared" si="204"/>
        <v>138</v>
      </c>
      <c r="C691" s="12"/>
      <c r="D691" s="12"/>
      <c r="E691" s="12"/>
      <c r="F691" s="12"/>
      <c r="G691" s="127"/>
      <c r="H691" s="12" t="s">
        <v>437</v>
      </c>
      <c r="I691" s="13"/>
      <c r="J691" s="13"/>
      <c r="K691" s="13"/>
      <c r="L691" s="13"/>
      <c r="M691" s="13"/>
      <c r="N691" s="10"/>
      <c r="O691" s="13"/>
      <c r="P691" s="13"/>
      <c r="Q691" s="13">
        <v>77427</v>
      </c>
      <c r="R691" s="13"/>
      <c r="T691" s="13">
        <f t="shared" si="205"/>
        <v>0</v>
      </c>
    </row>
    <row r="692" spans="2:20" x14ac:dyDescent="0.25">
      <c r="B692" s="97">
        <f t="shared" si="204"/>
        <v>139</v>
      </c>
      <c r="C692" s="12"/>
      <c r="D692" s="12"/>
      <c r="E692" s="12"/>
      <c r="F692" s="12"/>
      <c r="G692" s="127"/>
      <c r="H692" s="12" t="s">
        <v>438</v>
      </c>
      <c r="I692" s="13"/>
      <c r="J692" s="13"/>
      <c r="K692" s="13"/>
      <c r="L692" s="13"/>
      <c r="M692" s="13"/>
      <c r="N692" s="10"/>
      <c r="O692" s="13"/>
      <c r="P692" s="13"/>
      <c r="Q692" s="13">
        <v>4767</v>
      </c>
      <c r="R692" s="13"/>
      <c r="T692" s="13">
        <f t="shared" si="205"/>
        <v>0</v>
      </c>
    </row>
    <row r="693" spans="2:20" x14ac:dyDescent="0.25">
      <c r="B693" s="97">
        <f t="shared" si="204"/>
        <v>140</v>
      </c>
      <c r="C693" s="12"/>
      <c r="D693" s="12"/>
      <c r="E693" s="12"/>
      <c r="F693" s="12"/>
      <c r="G693" s="127"/>
      <c r="H693" s="12" t="s">
        <v>478</v>
      </c>
      <c r="I693" s="13"/>
      <c r="J693" s="13"/>
      <c r="K693" s="13"/>
      <c r="L693" s="13"/>
      <c r="M693" s="13"/>
      <c r="N693" s="10"/>
      <c r="O693" s="13"/>
      <c r="P693" s="13"/>
      <c r="Q693" s="13"/>
      <c r="R693" s="13"/>
      <c r="T693" s="13">
        <f t="shared" si="205"/>
        <v>0</v>
      </c>
    </row>
    <row r="694" spans="2:20" x14ac:dyDescent="0.25">
      <c r="B694" s="97">
        <f t="shared" si="204"/>
        <v>141</v>
      </c>
      <c r="C694" s="12"/>
      <c r="D694" s="12"/>
      <c r="E694" s="12"/>
      <c r="F694" s="12"/>
      <c r="G694" s="127"/>
      <c r="H694" s="12" t="s">
        <v>479</v>
      </c>
      <c r="I694" s="13"/>
      <c r="J694" s="13"/>
      <c r="K694" s="13"/>
      <c r="L694" s="13"/>
      <c r="M694" s="13"/>
      <c r="N694" s="10"/>
      <c r="O694" s="13"/>
      <c r="P694" s="13"/>
      <c r="Q694" s="13">
        <v>1203</v>
      </c>
      <c r="R694" s="13"/>
      <c r="T694" s="13">
        <f t="shared" si="205"/>
        <v>0</v>
      </c>
    </row>
    <row r="695" spans="2:20" x14ac:dyDescent="0.25">
      <c r="B695" s="97">
        <f t="shared" si="204"/>
        <v>142</v>
      </c>
      <c r="C695" s="12"/>
      <c r="D695" s="12"/>
      <c r="E695" s="12"/>
      <c r="F695" s="12"/>
      <c r="G695" s="127"/>
      <c r="H695" s="12" t="s">
        <v>480</v>
      </c>
      <c r="I695" s="13"/>
      <c r="J695" s="13"/>
      <c r="K695" s="13"/>
      <c r="L695" s="13"/>
      <c r="M695" s="13"/>
      <c r="N695" s="10"/>
      <c r="O695" s="13"/>
      <c r="P695" s="13"/>
      <c r="Q695" s="13">
        <v>300</v>
      </c>
      <c r="R695" s="13"/>
      <c r="T695" s="13">
        <f t="shared" si="205"/>
        <v>0</v>
      </c>
    </row>
    <row r="696" spans="2:20" x14ac:dyDescent="0.25">
      <c r="B696" s="97">
        <f t="shared" si="204"/>
        <v>143</v>
      </c>
      <c r="C696" s="12"/>
      <c r="D696" s="12"/>
      <c r="E696" s="12"/>
      <c r="F696" s="12"/>
      <c r="G696" s="127"/>
      <c r="H696" s="12" t="s">
        <v>481</v>
      </c>
      <c r="I696" s="13"/>
      <c r="J696" s="13"/>
      <c r="K696" s="13"/>
      <c r="L696" s="13"/>
      <c r="M696" s="13"/>
      <c r="N696" s="10"/>
      <c r="O696" s="13"/>
      <c r="P696" s="13"/>
      <c r="Q696" s="13">
        <v>6739</v>
      </c>
      <c r="R696" s="13"/>
      <c r="T696" s="13">
        <f t="shared" si="205"/>
        <v>0</v>
      </c>
    </row>
    <row r="697" spans="2:20" x14ac:dyDescent="0.25">
      <c r="B697" s="97">
        <f t="shared" si="204"/>
        <v>144</v>
      </c>
      <c r="C697" s="12"/>
      <c r="D697" s="12"/>
      <c r="E697" s="12"/>
      <c r="F697" s="12"/>
      <c r="G697" s="127"/>
      <c r="H697" s="12" t="s">
        <v>482</v>
      </c>
      <c r="I697" s="13"/>
      <c r="J697" s="13"/>
      <c r="K697" s="13"/>
      <c r="L697" s="13"/>
      <c r="M697" s="13"/>
      <c r="N697" s="10"/>
      <c r="O697" s="13"/>
      <c r="P697" s="13"/>
      <c r="Q697" s="13">
        <v>17550</v>
      </c>
      <c r="R697" s="13"/>
      <c r="T697" s="13">
        <f t="shared" si="205"/>
        <v>0</v>
      </c>
    </row>
    <row r="698" spans="2:20" x14ac:dyDescent="0.25">
      <c r="B698" s="97">
        <f t="shared" si="204"/>
        <v>145</v>
      </c>
      <c r="C698" s="12"/>
      <c r="D698" s="12"/>
      <c r="E698" s="12"/>
      <c r="F698" s="12"/>
      <c r="G698" s="127"/>
      <c r="H698" s="12" t="s">
        <v>483</v>
      </c>
      <c r="I698" s="13"/>
      <c r="J698" s="13"/>
      <c r="K698" s="13"/>
      <c r="L698" s="13"/>
      <c r="M698" s="13"/>
      <c r="N698" s="10"/>
      <c r="O698" s="13"/>
      <c r="P698" s="13">
        <v>25094</v>
      </c>
      <c r="Q698" s="13">
        <v>26621</v>
      </c>
      <c r="R698" s="13"/>
      <c r="T698" s="13">
        <f t="shared" si="205"/>
        <v>0</v>
      </c>
    </row>
    <row r="699" spans="2:20" x14ac:dyDescent="0.25">
      <c r="B699" s="97">
        <f t="shared" si="204"/>
        <v>146</v>
      </c>
      <c r="C699" s="12"/>
      <c r="D699" s="12"/>
      <c r="E699" s="12"/>
      <c r="F699" s="12"/>
      <c r="G699" s="127"/>
      <c r="H699" s="12" t="s">
        <v>441</v>
      </c>
      <c r="I699" s="13"/>
      <c r="J699" s="13"/>
      <c r="K699" s="13"/>
      <c r="L699" s="13"/>
      <c r="M699" s="13"/>
      <c r="N699" s="10"/>
      <c r="O699" s="13"/>
      <c r="P699" s="13">
        <v>180</v>
      </c>
      <c r="Q699" s="13">
        <v>117570</v>
      </c>
      <c r="R699" s="13"/>
      <c r="T699" s="13">
        <f t="shared" si="205"/>
        <v>0</v>
      </c>
    </row>
    <row r="700" spans="2:20" x14ac:dyDescent="0.25">
      <c r="B700" s="97">
        <f t="shared" si="204"/>
        <v>147</v>
      </c>
      <c r="C700" s="12"/>
      <c r="D700" s="12"/>
      <c r="E700" s="12"/>
      <c r="F700" s="12"/>
      <c r="G700" s="127"/>
      <c r="H700" s="12" t="s">
        <v>443</v>
      </c>
      <c r="I700" s="13"/>
      <c r="J700" s="13"/>
      <c r="K700" s="13"/>
      <c r="L700" s="13"/>
      <c r="M700" s="13"/>
      <c r="N700" s="10"/>
      <c r="O700" s="13"/>
      <c r="P700" s="13">
        <v>79300</v>
      </c>
      <c r="Q700" s="13">
        <v>12</v>
      </c>
      <c r="R700" s="13"/>
      <c r="T700" s="13">
        <f t="shared" si="205"/>
        <v>0</v>
      </c>
    </row>
    <row r="701" spans="2:20" x14ac:dyDescent="0.25">
      <c r="B701" s="97">
        <f t="shared" si="204"/>
        <v>148</v>
      </c>
      <c r="C701" s="12"/>
      <c r="D701" s="12"/>
      <c r="E701" s="12"/>
      <c r="F701" s="12"/>
      <c r="G701" s="127"/>
      <c r="H701" s="12" t="s">
        <v>444</v>
      </c>
      <c r="I701" s="13"/>
      <c r="J701" s="13"/>
      <c r="K701" s="13"/>
      <c r="L701" s="13"/>
      <c r="M701" s="13"/>
      <c r="N701" s="10"/>
      <c r="O701" s="13">
        <v>4000</v>
      </c>
      <c r="P701" s="13">
        <v>4000</v>
      </c>
      <c r="Q701" s="13">
        <v>13229</v>
      </c>
      <c r="R701" s="13"/>
      <c r="T701" s="13">
        <f t="shared" si="205"/>
        <v>0</v>
      </c>
    </row>
    <row r="702" spans="2:20" x14ac:dyDescent="0.25">
      <c r="B702" s="97">
        <f t="shared" si="204"/>
        <v>149</v>
      </c>
      <c r="C702" s="12"/>
      <c r="D702" s="12"/>
      <c r="E702" s="12"/>
      <c r="F702" s="12"/>
      <c r="G702" s="127"/>
      <c r="H702" s="12" t="s">
        <v>484</v>
      </c>
      <c r="I702" s="13"/>
      <c r="J702" s="13"/>
      <c r="K702" s="13"/>
      <c r="L702" s="13"/>
      <c r="M702" s="13"/>
      <c r="N702" s="10"/>
      <c r="O702" s="13"/>
      <c r="P702" s="13"/>
      <c r="Q702" s="13">
        <v>9500</v>
      </c>
      <c r="R702" s="13"/>
      <c r="T702" s="13">
        <f t="shared" si="205"/>
        <v>0</v>
      </c>
    </row>
    <row r="703" spans="2:20" x14ac:dyDescent="0.25">
      <c r="B703" s="97">
        <f t="shared" si="204"/>
        <v>150</v>
      </c>
      <c r="C703" s="12"/>
      <c r="D703" s="12"/>
      <c r="E703" s="12"/>
      <c r="F703" s="12"/>
      <c r="G703" s="127"/>
      <c r="H703" s="12" t="s">
        <v>485</v>
      </c>
      <c r="I703" s="13"/>
      <c r="J703" s="13"/>
      <c r="K703" s="13"/>
      <c r="L703" s="13"/>
      <c r="M703" s="13"/>
      <c r="N703" s="10"/>
      <c r="O703" s="13"/>
      <c r="P703" s="13">
        <v>9500</v>
      </c>
      <c r="Q703" s="13"/>
      <c r="R703" s="13"/>
      <c r="T703" s="13">
        <f t="shared" si="205"/>
        <v>0</v>
      </c>
    </row>
    <row r="704" spans="2:20" x14ac:dyDescent="0.25">
      <c r="B704" s="97">
        <f t="shared" si="204"/>
        <v>151</v>
      </c>
      <c r="C704" s="12"/>
      <c r="D704" s="12"/>
      <c r="E704" s="12"/>
      <c r="F704" s="12"/>
      <c r="G704" s="127"/>
      <c r="H704" s="91" t="s">
        <v>825</v>
      </c>
      <c r="I704" s="13"/>
      <c r="J704" s="13"/>
      <c r="K704" s="13"/>
      <c r="L704" s="13"/>
      <c r="M704" s="13"/>
      <c r="N704" s="10">
        <v>192035</v>
      </c>
      <c r="O704" s="13">
        <v>132435</v>
      </c>
      <c r="P704" s="13">
        <v>192035</v>
      </c>
      <c r="Q704" s="13">
        <v>915</v>
      </c>
      <c r="R704" s="13"/>
      <c r="T704" s="13">
        <f t="shared" si="205"/>
        <v>192035</v>
      </c>
    </row>
    <row r="705" spans="2:20" x14ac:dyDescent="0.25">
      <c r="B705" s="97">
        <f t="shared" si="204"/>
        <v>152</v>
      </c>
      <c r="C705" s="12"/>
      <c r="D705" s="12"/>
      <c r="E705" s="12"/>
      <c r="F705" s="12"/>
      <c r="G705" s="127"/>
      <c r="H705" s="12" t="s">
        <v>486</v>
      </c>
      <c r="I705" s="13"/>
      <c r="J705" s="13"/>
      <c r="K705" s="13"/>
      <c r="L705" s="13"/>
      <c r="M705" s="13"/>
      <c r="N705" s="10"/>
      <c r="O705" s="13"/>
      <c r="P705" s="13">
        <v>300</v>
      </c>
      <c r="Q705" s="13">
        <v>24481</v>
      </c>
      <c r="R705" s="13"/>
      <c r="T705" s="13">
        <f t="shared" si="205"/>
        <v>0</v>
      </c>
    </row>
    <row r="706" spans="2:20" x14ac:dyDescent="0.25">
      <c r="B706" s="97">
        <f t="shared" si="204"/>
        <v>153</v>
      </c>
      <c r="C706" s="12"/>
      <c r="D706" s="12"/>
      <c r="E706" s="12"/>
      <c r="F706" s="12"/>
      <c r="G706" s="127"/>
      <c r="H706" s="146" t="s">
        <v>843</v>
      </c>
      <c r="I706" s="13"/>
      <c r="J706" s="13"/>
      <c r="K706" s="13"/>
      <c r="L706" s="13"/>
      <c r="M706" s="13"/>
      <c r="N706" s="10"/>
      <c r="O706" s="13">
        <v>50000</v>
      </c>
      <c r="P706" s="13">
        <v>0</v>
      </c>
      <c r="Q706" s="13"/>
      <c r="R706" s="13"/>
      <c r="T706" s="13">
        <f t="shared" si="205"/>
        <v>0</v>
      </c>
    </row>
    <row r="707" spans="2:20" x14ac:dyDescent="0.25">
      <c r="B707" s="97">
        <f t="shared" si="204"/>
        <v>154</v>
      </c>
      <c r="C707" s="12"/>
      <c r="D707" s="12"/>
      <c r="E707" s="12"/>
      <c r="F707" s="12"/>
      <c r="G707" s="127"/>
      <c r="H707" s="12" t="s">
        <v>929</v>
      </c>
      <c r="I707" s="13"/>
      <c r="J707" s="13"/>
      <c r="K707" s="13"/>
      <c r="L707" s="13"/>
      <c r="M707" s="13"/>
      <c r="N707" s="10">
        <v>90000</v>
      </c>
      <c r="O707" s="13">
        <v>180000</v>
      </c>
      <c r="P707" s="13">
        <v>290000</v>
      </c>
      <c r="Q707" s="13"/>
      <c r="R707" s="13"/>
      <c r="T707" s="13">
        <f t="shared" si="205"/>
        <v>90000</v>
      </c>
    </row>
    <row r="708" spans="2:20" x14ac:dyDescent="0.25">
      <c r="B708" s="97">
        <f t="shared" si="204"/>
        <v>155</v>
      </c>
      <c r="C708" s="12"/>
      <c r="D708" s="12"/>
      <c r="E708" s="12"/>
      <c r="F708" s="12"/>
      <c r="G708" s="127"/>
      <c r="H708" s="12" t="s">
        <v>487</v>
      </c>
      <c r="I708" s="13"/>
      <c r="J708" s="13"/>
      <c r="K708" s="13"/>
      <c r="L708" s="13"/>
      <c r="M708" s="13"/>
      <c r="N708" s="10"/>
      <c r="O708" s="13">
        <v>150000</v>
      </c>
      <c r="P708" s="13">
        <v>96440</v>
      </c>
      <c r="Q708" s="13"/>
      <c r="R708" s="13"/>
      <c r="T708" s="13">
        <f t="shared" si="205"/>
        <v>0</v>
      </c>
    </row>
    <row r="709" spans="2:20" x14ac:dyDescent="0.25">
      <c r="B709" s="97">
        <f t="shared" si="204"/>
        <v>156</v>
      </c>
      <c r="C709" s="12"/>
      <c r="D709" s="12"/>
      <c r="E709" s="12"/>
      <c r="F709" s="12"/>
      <c r="G709" s="127"/>
      <c r="H709" s="12" t="s">
        <v>488</v>
      </c>
      <c r="I709" s="13"/>
      <c r="J709" s="13"/>
      <c r="K709" s="13"/>
      <c r="L709" s="13"/>
      <c r="M709" s="13"/>
      <c r="N709" s="10"/>
      <c r="O709" s="13">
        <v>8000</v>
      </c>
      <c r="P709" s="13">
        <v>12000</v>
      </c>
      <c r="Q709" s="13"/>
      <c r="R709" s="13"/>
      <c r="T709" s="13">
        <f t="shared" si="205"/>
        <v>0</v>
      </c>
    </row>
    <row r="710" spans="2:20" x14ac:dyDescent="0.25">
      <c r="B710" s="97">
        <f t="shared" si="204"/>
        <v>157</v>
      </c>
      <c r="C710" s="12"/>
      <c r="D710" s="12"/>
      <c r="E710" s="12"/>
      <c r="F710" s="12"/>
      <c r="G710" s="127"/>
      <c r="H710" s="12" t="s">
        <v>455</v>
      </c>
      <c r="I710" s="13"/>
      <c r="J710" s="13"/>
      <c r="K710" s="13"/>
      <c r="L710" s="13"/>
      <c r="M710" s="13"/>
      <c r="N710" s="10"/>
      <c r="O710" s="13">
        <v>90000</v>
      </c>
      <c r="P710" s="13">
        <v>131800</v>
      </c>
      <c r="Q710" s="13"/>
      <c r="R710" s="13"/>
      <c r="T710" s="13">
        <f t="shared" si="205"/>
        <v>0</v>
      </c>
    </row>
    <row r="711" spans="2:20" x14ac:dyDescent="0.25">
      <c r="B711" s="97">
        <f t="shared" si="204"/>
        <v>158</v>
      </c>
      <c r="C711" s="12"/>
      <c r="D711" s="12"/>
      <c r="E711" s="12"/>
      <c r="F711" s="12"/>
      <c r="G711" s="127"/>
      <c r="H711" s="12" t="s">
        <v>446</v>
      </c>
      <c r="I711" s="13"/>
      <c r="J711" s="13"/>
      <c r="K711" s="13"/>
      <c r="L711" s="13"/>
      <c r="M711" s="13"/>
      <c r="N711" s="10"/>
      <c r="O711" s="13">
        <v>60000</v>
      </c>
      <c r="P711" s="13">
        <v>80000</v>
      </c>
      <c r="Q711" s="13"/>
      <c r="R711" s="13"/>
      <c r="T711" s="13">
        <f t="shared" si="205"/>
        <v>0</v>
      </c>
    </row>
    <row r="712" spans="2:20" x14ac:dyDescent="0.25">
      <c r="B712" s="97">
        <f t="shared" si="204"/>
        <v>159</v>
      </c>
      <c r="C712" s="12"/>
      <c r="D712" s="12"/>
      <c r="E712" s="12"/>
      <c r="F712" s="12"/>
      <c r="G712" s="127"/>
      <c r="H712" s="12" t="s">
        <v>489</v>
      </c>
      <c r="I712" s="13"/>
      <c r="J712" s="13"/>
      <c r="K712" s="13"/>
      <c r="L712" s="13"/>
      <c r="M712" s="13"/>
      <c r="N712" s="10"/>
      <c r="O712" s="13">
        <v>7000</v>
      </c>
      <c r="P712" s="13">
        <v>12980</v>
      </c>
      <c r="Q712" s="13"/>
      <c r="R712" s="13"/>
      <c r="T712" s="13">
        <f t="shared" si="205"/>
        <v>0</v>
      </c>
    </row>
    <row r="713" spans="2:20" x14ac:dyDescent="0.25">
      <c r="B713" s="97">
        <f t="shared" si="204"/>
        <v>160</v>
      </c>
      <c r="C713" s="12"/>
      <c r="D713" s="12"/>
      <c r="E713" s="12"/>
      <c r="F713" s="12"/>
      <c r="G713" s="127"/>
      <c r="H713" s="91" t="s">
        <v>824</v>
      </c>
      <c r="I713" s="13"/>
      <c r="J713" s="13"/>
      <c r="K713" s="13"/>
      <c r="L713" s="13"/>
      <c r="M713" s="13"/>
      <c r="N713" s="10">
        <v>11900</v>
      </c>
      <c r="O713" s="13">
        <v>13000</v>
      </c>
      <c r="P713" s="13">
        <v>11900</v>
      </c>
      <c r="Q713" s="13"/>
      <c r="R713" s="13"/>
      <c r="T713" s="13">
        <f t="shared" si="205"/>
        <v>11900</v>
      </c>
    </row>
    <row r="714" spans="2:20" x14ac:dyDescent="0.25">
      <c r="B714" s="97">
        <f t="shared" si="204"/>
        <v>161</v>
      </c>
      <c r="C714" s="12"/>
      <c r="D714" s="12"/>
      <c r="E714" s="12"/>
      <c r="F714" s="12"/>
      <c r="G714" s="127"/>
      <c r="H714" s="91" t="s">
        <v>826</v>
      </c>
      <c r="I714" s="13"/>
      <c r="J714" s="13"/>
      <c r="K714" s="13"/>
      <c r="L714" s="13"/>
      <c r="M714" s="13"/>
      <c r="N714" s="10">
        <v>8550</v>
      </c>
      <c r="O714" s="13">
        <v>9300</v>
      </c>
      <c r="P714" s="13">
        <v>8550</v>
      </c>
      <c r="Q714" s="13"/>
      <c r="R714" s="13"/>
      <c r="T714" s="13">
        <f t="shared" si="205"/>
        <v>8550</v>
      </c>
    </row>
    <row r="715" spans="2:20" x14ac:dyDescent="0.25">
      <c r="B715" s="97">
        <f t="shared" si="204"/>
        <v>162</v>
      </c>
      <c r="C715" s="12"/>
      <c r="D715" s="12"/>
      <c r="E715" s="12"/>
      <c r="F715" s="12"/>
      <c r="G715" s="127"/>
      <c r="H715" s="91" t="s">
        <v>844</v>
      </c>
      <c r="I715" s="13"/>
      <c r="J715" s="13"/>
      <c r="K715" s="13"/>
      <c r="L715" s="13"/>
      <c r="M715" s="13"/>
      <c r="N715" s="10"/>
      <c r="O715" s="13">
        <v>25000</v>
      </c>
      <c r="P715" s="13">
        <f>25000+50000</f>
        <v>75000</v>
      </c>
      <c r="Q715" s="13"/>
      <c r="R715" s="13"/>
      <c r="T715" s="13">
        <f t="shared" si="205"/>
        <v>0</v>
      </c>
    </row>
    <row r="716" spans="2:20" ht="23.25" x14ac:dyDescent="0.25">
      <c r="B716" s="97">
        <f t="shared" si="204"/>
        <v>163</v>
      </c>
      <c r="C716" s="12"/>
      <c r="D716" s="12"/>
      <c r="E716" s="12"/>
      <c r="F716" s="12"/>
      <c r="G716" s="127"/>
      <c r="H716" s="92" t="s">
        <v>834</v>
      </c>
      <c r="I716" s="13"/>
      <c r="J716" s="13"/>
      <c r="K716" s="13"/>
      <c r="L716" s="13"/>
      <c r="M716" s="13"/>
      <c r="N716" s="10">
        <v>60000</v>
      </c>
      <c r="O716" s="13">
        <v>60000</v>
      </c>
      <c r="P716" s="13">
        <v>60000</v>
      </c>
      <c r="Q716" s="13"/>
      <c r="R716" s="13"/>
      <c r="T716" s="13">
        <f t="shared" si="205"/>
        <v>60000</v>
      </c>
    </row>
    <row r="717" spans="2:20" x14ac:dyDescent="0.25">
      <c r="B717" s="97">
        <f t="shared" si="204"/>
        <v>164</v>
      </c>
      <c r="C717" s="12"/>
      <c r="D717" s="12"/>
      <c r="E717" s="12"/>
      <c r="F717" s="12"/>
      <c r="G717" s="127"/>
      <c r="H717" s="92" t="s">
        <v>914</v>
      </c>
      <c r="I717" s="13"/>
      <c r="J717" s="13"/>
      <c r="K717" s="13"/>
      <c r="L717" s="13"/>
      <c r="M717" s="13"/>
      <c r="N717" s="10">
        <v>50000</v>
      </c>
      <c r="O717" s="13">
        <v>50000</v>
      </c>
      <c r="P717" s="13">
        <v>50000</v>
      </c>
      <c r="Q717" s="13"/>
      <c r="R717" s="13"/>
      <c r="T717" s="13">
        <f t="shared" si="205"/>
        <v>50000</v>
      </c>
    </row>
    <row r="718" spans="2:20" x14ac:dyDescent="0.25">
      <c r="B718" s="97">
        <f t="shared" si="204"/>
        <v>165</v>
      </c>
      <c r="C718" s="12"/>
      <c r="D718" s="12"/>
      <c r="E718" s="12"/>
      <c r="F718" s="12"/>
      <c r="G718" s="127"/>
      <c r="H718" s="92" t="s">
        <v>832</v>
      </c>
      <c r="I718" s="13"/>
      <c r="J718" s="13"/>
      <c r="K718" s="13"/>
      <c r="L718" s="13"/>
      <c r="M718" s="13"/>
      <c r="N718" s="10">
        <v>10000</v>
      </c>
      <c r="O718" s="13"/>
      <c r="P718" s="13">
        <v>10000</v>
      </c>
      <c r="Q718" s="13"/>
      <c r="R718" s="13"/>
      <c r="T718" s="13">
        <f t="shared" si="205"/>
        <v>10000</v>
      </c>
    </row>
    <row r="719" spans="2:20" x14ac:dyDescent="0.25">
      <c r="B719" s="97">
        <f t="shared" si="204"/>
        <v>166</v>
      </c>
      <c r="C719" s="12"/>
      <c r="D719" s="12"/>
      <c r="E719" s="12"/>
      <c r="F719" s="12"/>
      <c r="G719" s="127"/>
      <c r="H719" s="114" t="s">
        <v>490</v>
      </c>
      <c r="I719" s="13"/>
      <c r="J719" s="13"/>
      <c r="K719" s="13"/>
      <c r="L719" s="13"/>
      <c r="M719" s="13"/>
      <c r="N719" s="10"/>
      <c r="O719" s="13"/>
      <c r="P719" s="13">
        <f>16650+40000</f>
        <v>56650</v>
      </c>
      <c r="Q719" s="13"/>
      <c r="R719" s="13"/>
      <c r="T719" s="13">
        <f t="shared" si="205"/>
        <v>0</v>
      </c>
    </row>
    <row r="720" spans="2:20" x14ac:dyDescent="0.25">
      <c r="B720" s="97">
        <f t="shared" si="204"/>
        <v>167</v>
      </c>
      <c r="C720" s="12"/>
      <c r="D720" s="12"/>
      <c r="E720" s="12"/>
      <c r="F720" s="12"/>
      <c r="G720" s="127"/>
      <c r="H720" s="114" t="s">
        <v>491</v>
      </c>
      <c r="I720" s="13"/>
      <c r="J720" s="13"/>
      <c r="K720" s="13"/>
      <c r="L720" s="13"/>
      <c r="M720" s="13"/>
      <c r="N720" s="10"/>
      <c r="O720" s="13"/>
      <c r="P720" s="13">
        <v>17000</v>
      </c>
      <c r="Q720" s="13"/>
      <c r="R720" s="13"/>
      <c r="T720" s="13">
        <f t="shared" si="205"/>
        <v>0</v>
      </c>
    </row>
    <row r="721" spans="2:20" x14ac:dyDescent="0.25">
      <c r="B721" s="97">
        <f t="shared" si="204"/>
        <v>168</v>
      </c>
      <c r="C721" s="12"/>
      <c r="D721" s="12"/>
      <c r="E721" s="12"/>
      <c r="F721" s="12"/>
      <c r="G721" s="127"/>
      <c r="H721" s="114" t="s">
        <v>492</v>
      </c>
      <c r="I721" s="13"/>
      <c r="J721" s="13"/>
      <c r="K721" s="13"/>
      <c r="L721" s="13"/>
      <c r="M721" s="13"/>
      <c r="N721" s="10"/>
      <c r="O721" s="13"/>
      <c r="P721" s="13">
        <v>10000</v>
      </c>
      <c r="Q721" s="13"/>
      <c r="R721" s="13"/>
      <c r="T721" s="13">
        <f t="shared" si="205"/>
        <v>0</v>
      </c>
    </row>
    <row r="722" spans="2:20" ht="23.25" x14ac:dyDescent="0.25">
      <c r="B722" s="97">
        <f t="shared" si="204"/>
        <v>169</v>
      </c>
      <c r="C722" s="12"/>
      <c r="D722" s="12"/>
      <c r="E722" s="12"/>
      <c r="F722" s="12"/>
      <c r="G722" s="127"/>
      <c r="H722" s="114" t="s">
        <v>493</v>
      </c>
      <c r="I722" s="13"/>
      <c r="J722" s="13"/>
      <c r="K722" s="13"/>
      <c r="L722" s="13"/>
      <c r="M722" s="13"/>
      <c r="N722" s="10"/>
      <c r="O722" s="13"/>
      <c r="P722" s="13">
        <v>11300</v>
      </c>
      <c r="Q722" s="13"/>
      <c r="R722" s="13"/>
      <c r="T722" s="13">
        <f t="shared" si="205"/>
        <v>0</v>
      </c>
    </row>
    <row r="723" spans="2:20" x14ac:dyDescent="0.25">
      <c r="B723" s="97">
        <f t="shared" si="204"/>
        <v>170</v>
      </c>
      <c r="C723" s="12"/>
      <c r="D723" s="12"/>
      <c r="E723" s="12"/>
      <c r="F723" s="12"/>
      <c r="G723" s="127"/>
      <c r="H723" s="12" t="s">
        <v>494</v>
      </c>
      <c r="I723" s="13"/>
      <c r="J723" s="13"/>
      <c r="K723" s="13"/>
      <c r="L723" s="13"/>
      <c r="M723" s="13"/>
      <c r="N723" s="10"/>
      <c r="O723" s="13"/>
      <c r="P723" s="13">
        <v>3000</v>
      </c>
      <c r="Q723" s="13"/>
      <c r="R723" s="13"/>
      <c r="T723" s="13">
        <f t="shared" si="205"/>
        <v>0</v>
      </c>
    </row>
    <row r="724" spans="2:20" x14ac:dyDescent="0.25">
      <c r="B724" s="97">
        <f t="shared" si="204"/>
        <v>171</v>
      </c>
      <c r="C724" s="12"/>
      <c r="D724" s="12"/>
      <c r="E724" s="12"/>
      <c r="F724" s="12"/>
      <c r="G724" s="127"/>
      <c r="H724" s="12" t="s">
        <v>495</v>
      </c>
      <c r="I724" s="13"/>
      <c r="J724" s="13"/>
      <c r="K724" s="13"/>
      <c r="L724" s="13"/>
      <c r="M724" s="13"/>
      <c r="N724" s="10"/>
      <c r="O724" s="13"/>
      <c r="P724" s="13">
        <v>24200</v>
      </c>
      <c r="Q724" s="13"/>
      <c r="R724" s="13"/>
      <c r="T724" s="13">
        <f t="shared" si="205"/>
        <v>0</v>
      </c>
    </row>
    <row r="725" spans="2:20" x14ac:dyDescent="0.25">
      <c r="B725" s="97">
        <f t="shared" si="204"/>
        <v>172</v>
      </c>
      <c r="C725" s="12"/>
      <c r="D725" s="12"/>
      <c r="E725" s="12"/>
      <c r="F725" s="12"/>
      <c r="G725" s="127"/>
      <c r="H725" s="12" t="s">
        <v>496</v>
      </c>
      <c r="I725" s="13"/>
      <c r="J725" s="13"/>
      <c r="K725" s="13"/>
      <c r="L725" s="13"/>
      <c r="M725" s="13"/>
      <c r="N725" s="10"/>
      <c r="O725" s="13"/>
      <c r="P725" s="13">
        <v>3500</v>
      </c>
      <c r="Q725" s="13"/>
      <c r="R725" s="13"/>
      <c r="T725" s="13">
        <f t="shared" si="205"/>
        <v>0</v>
      </c>
    </row>
    <row r="726" spans="2:20" ht="23.25" x14ac:dyDescent="0.25">
      <c r="B726" s="97">
        <f t="shared" si="204"/>
        <v>173</v>
      </c>
      <c r="C726" s="12"/>
      <c r="D726" s="12"/>
      <c r="E726" s="12"/>
      <c r="F726" s="12"/>
      <c r="G726" s="127"/>
      <c r="H726" s="156" t="s">
        <v>837</v>
      </c>
      <c r="I726" s="13"/>
      <c r="J726" s="13"/>
      <c r="K726" s="13"/>
      <c r="L726" s="13"/>
      <c r="M726" s="13"/>
      <c r="N726" s="10"/>
      <c r="O726" s="13"/>
      <c r="P726" s="13">
        <f>4000+12000</f>
        <v>16000</v>
      </c>
      <c r="Q726" s="13"/>
      <c r="R726" s="13"/>
      <c r="T726" s="13">
        <f t="shared" si="205"/>
        <v>0</v>
      </c>
    </row>
    <row r="727" spans="2:20" s="104" customFormat="1" ht="22.5" x14ac:dyDescent="0.25">
      <c r="B727" s="97">
        <f t="shared" si="204"/>
        <v>174</v>
      </c>
      <c r="C727" s="109"/>
      <c r="D727" s="109"/>
      <c r="E727" s="109"/>
      <c r="F727" s="109"/>
      <c r="G727" s="133"/>
      <c r="H727" s="159" t="s">
        <v>823</v>
      </c>
      <c r="I727" s="110"/>
      <c r="J727" s="110"/>
      <c r="K727" s="110"/>
      <c r="L727" s="110"/>
      <c r="M727" s="110"/>
      <c r="N727" s="103">
        <v>45840</v>
      </c>
      <c r="O727" s="110"/>
      <c r="P727" s="110">
        <v>45840</v>
      </c>
      <c r="Q727" s="110"/>
      <c r="R727" s="110"/>
      <c r="T727" s="110">
        <f t="shared" si="205"/>
        <v>45840</v>
      </c>
    </row>
    <row r="728" spans="2:20" ht="23.25" x14ac:dyDescent="0.25">
      <c r="B728" s="97">
        <f t="shared" si="204"/>
        <v>175</v>
      </c>
      <c r="C728" s="12"/>
      <c r="D728" s="12"/>
      <c r="E728" s="12"/>
      <c r="F728" s="12"/>
      <c r="G728" s="127"/>
      <c r="H728" s="114" t="s">
        <v>497</v>
      </c>
      <c r="I728" s="13"/>
      <c r="J728" s="13"/>
      <c r="K728" s="13"/>
      <c r="L728" s="13"/>
      <c r="M728" s="13"/>
      <c r="N728" s="10"/>
      <c r="O728" s="13"/>
      <c r="P728" s="13">
        <v>12000</v>
      </c>
      <c r="Q728" s="13"/>
      <c r="R728" s="13"/>
      <c r="T728" s="13">
        <f t="shared" si="205"/>
        <v>0</v>
      </c>
    </row>
    <row r="729" spans="2:20" ht="23.25" x14ac:dyDescent="0.25">
      <c r="B729" s="97">
        <f t="shared" si="204"/>
        <v>176</v>
      </c>
      <c r="C729" s="12"/>
      <c r="D729" s="12"/>
      <c r="E729" s="12"/>
      <c r="F729" s="12"/>
      <c r="G729" s="127"/>
      <c r="H729" s="114" t="s">
        <v>498</v>
      </c>
      <c r="I729" s="13"/>
      <c r="J729" s="13"/>
      <c r="K729" s="13"/>
      <c r="L729" s="13"/>
      <c r="M729" s="13"/>
      <c r="N729" s="10"/>
      <c r="O729" s="13"/>
      <c r="P729" s="13">
        <v>28600</v>
      </c>
      <c r="Q729" s="13"/>
      <c r="R729" s="13"/>
      <c r="T729" s="13">
        <f t="shared" si="205"/>
        <v>0</v>
      </c>
    </row>
    <row r="730" spans="2:20" x14ac:dyDescent="0.25">
      <c r="B730" s="97">
        <f t="shared" si="204"/>
        <v>177</v>
      </c>
      <c r="C730" s="12"/>
      <c r="D730" s="12"/>
      <c r="E730" s="12"/>
      <c r="F730" s="12"/>
      <c r="G730" s="127"/>
      <c r="H730" s="12" t="s">
        <v>499</v>
      </c>
      <c r="I730" s="13"/>
      <c r="J730" s="13"/>
      <c r="K730" s="13"/>
      <c r="L730" s="13"/>
      <c r="M730" s="13"/>
      <c r="N730" s="10"/>
      <c r="O730" s="13"/>
      <c r="P730" s="13">
        <v>2400</v>
      </c>
      <c r="Q730" s="13"/>
      <c r="R730" s="13"/>
      <c r="T730" s="13">
        <f t="shared" si="205"/>
        <v>0</v>
      </c>
    </row>
    <row r="731" spans="2:20" x14ac:dyDescent="0.25">
      <c r="B731" s="97">
        <f t="shared" si="204"/>
        <v>178</v>
      </c>
      <c r="C731" s="12"/>
      <c r="D731" s="12"/>
      <c r="E731" s="12"/>
      <c r="F731" s="12"/>
      <c r="G731" s="127"/>
      <c r="H731" s="12" t="s">
        <v>500</v>
      </c>
      <c r="I731" s="13"/>
      <c r="J731" s="13"/>
      <c r="K731" s="13"/>
      <c r="L731" s="13"/>
      <c r="M731" s="13"/>
      <c r="N731" s="10"/>
      <c r="O731" s="13"/>
      <c r="P731" s="13">
        <v>43570</v>
      </c>
      <c r="Q731" s="13"/>
      <c r="R731" s="13"/>
      <c r="T731" s="13">
        <f t="shared" si="205"/>
        <v>0</v>
      </c>
    </row>
    <row r="732" spans="2:20" ht="23.25" x14ac:dyDescent="0.25">
      <c r="B732" s="97">
        <f t="shared" si="204"/>
        <v>179</v>
      </c>
      <c r="C732" s="12"/>
      <c r="D732" s="12"/>
      <c r="E732" s="12"/>
      <c r="F732" s="12"/>
      <c r="G732" s="127"/>
      <c r="H732" s="114" t="s">
        <v>501</v>
      </c>
      <c r="I732" s="13"/>
      <c r="J732" s="13"/>
      <c r="K732" s="13"/>
      <c r="L732" s="13"/>
      <c r="M732" s="13"/>
      <c r="N732" s="10"/>
      <c r="O732" s="13"/>
      <c r="P732" s="13">
        <v>7500</v>
      </c>
      <c r="Q732" s="13"/>
      <c r="R732" s="13"/>
      <c r="T732" s="13">
        <f t="shared" si="205"/>
        <v>0</v>
      </c>
    </row>
    <row r="733" spans="2:20" ht="23.25" x14ac:dyDescent="0.25">
      <c r="B733" s="97">
        <f t="shared" si="204"/>
        <v>180</v>
      </c>
      <c r="C733" s="12"/>
      <c r="D733" s="12"/>
      <c r="E733" s="12"/>
      <c r="F733" s="12"/>
      <c r="G733" s="127"/>
      <c r="H733" s="114" t="s">
        <v>502</v>
      </c>
      <c r="I733" s="13"/>
      <c r="J733" s="13"/>
      <c r="K733" s="13"/>
      <c r="L733" s="13"/>
      <c r="M733" s="13"/>
      <c r="N733" s="10"/>
      <c r="O733" s="13"/>
      <c r="P733" s="13">
        <v>5500</v>
      </c>
      <c r="Q733" s="13"/>
      <c r="R733" s="13"/>
      <c r="T733" s="13">
        <f t="shared" si="205"/>
        <v>0</v>
      </c>
    </row>
    <row r="734" spans="2:20" ht="23.25" x14ac:dyDescent="0.25">
      <c r="B734" s="97">
        <f t="shared" si="204"/>
        <v>181</v>
      </c>
      <c r="C734" s="12"/>
      <c r="D734" s="12"/>
      <c r="E734" s="12"/>
      <c r="F734" s="12"/>
      <c r="G734" s="127"/>
      <c r="H734" s="114" t="s">
        <v>957</v>
      </c>
      <c r="I734" s="13"/>
      <c r="J734" s="13"/>
      <c r="K734" s="13"/>
      <c r="L734" s="13"/>
      <c r="M734" s="13"/>
      <c r="N734" s="10">
        <v>23000</v>
      </c>
      <c r="O734" s="13"/>
      <c r="P734" s="13">
        <v>13000</v>
      </c>
      <c r="Q734" s="13"/>
      <c r="R734" s="13"/>
      <c r="T734" s="13">
        <f t="shared" si="205"/>
        <v>23000</v>
      </c>
    </row>
    <row r="735" spans="2:20" x14ac:dyDescent="0.25">
      <c r="B735" s="97">
        <f t="shared" si="204"/>
        <v>182</v>
      </c>
      <c r="C735" s="12"/>
      <c r="D735" s="12"/>
      <c r="E735" s="12"/>
      <c r="F735" s="12"/>
      <c r="G735" s="127"/>
      <c r="H735" s="12" t="s">
        <v>456</v>
      </c>
      <c r="I735" s="13"/>
      <c r="J735" s="13"/>
      <c r="K735" s="13"/>
      <c r="L735" s="13"/>
      <c r="M735" s="13"/>
      <c r="N735" s="10"/>
      <c r="O735" s="13"/>
      <c r="P735" s="13">
        <v>240000</v>
      </c>
      <c r="Q735" s="13"/>
      <c r="R735" s="13"/>
      <c r="T735" s="13">
        <f t="shared" si="205"/>
        <v>0</v>
      </c>
    </row>
    <row r="736" spans="2:20" x14ac:dyDescent="0.25">
      <c r="B736" s="97">
        <f t="shared" si="204"/>
        <v>183</v>
      </c>
      <c r="C736" s="12"/>
      <c r="D736" s="12"/>
      <c r="E736" s="12"/>
      <c r="F736" s="12"/>
      <c r="G736" s="127"/>
      <c r="H736" s="12" t="s">
        <v>503</v>
      </c>
      <c r="I736" s="13"/>
      <c r="J736" s="13"/>
      <c r="K736" s="13"/>
      <c r="L736" s="13"/>
      <c r="M736" s="13"/>
      <c r="N736" s="10"/>
      <c r="O736" s="13"/>
      <c r="P736" s="13">
        <v>142000</v>
      </c>
      <c r="Q736" s="13"/>
      <c r="R736" s="13"/>
      <c r="T736" s="13">
        <f t="shared" si="205"/>
        <v>0</v>
      </c>
    </row>
    <row r="737" spans="2:20" x14ac:dyDescent="0.25">
      <c r="B737" s="97">
        <f t="shared" si="204"/>
        <v>184</v>
      </c>
      <c r="C737" s="12"/>
      <c r="D737" s="12"/>
      <c r="E737" s="12"/>
      <c r="F737" s="12"/>
      <c r="G737" s="127"/>
      <c r="H737" s="91" t="s">
        <v>835</v>
      </c>
      <c r="I737" s="13"/>
      <c r="J737" s="13"/>
      <c r="K737" s="13"/>
      <c r="L737" s="13"/>
      <c r="M737" s="13"/>
      <c r="N737" s="10">
        <v>98000</v>
      </c>
      <c r="O737" s="13"/>
      <c r="P737" s="13">
        <v>98000</v>
      </c>
      <c r="Q737" s="13"/>
      <c r="R737" s="13"/>
      <c r="T737" s="13">
        <f t="shared" si="205"/>
        <v>98000</v>
      </c>
    </row>
    <row r="738" spans="2:20" x14ac:dyDescent="0.25">
      <c r="B738" s="97">
        <f t="shared" si="204"/>
        <v>185</v>
      </c>
      <c r="C738" s="12"/>
      <c r="D738" s="12"/>
      <c r="E738" s="12"/>
      <c r="F738" s="12"/>
      <c r="G738" s="127"/>
      <c r="H738" s="91" t="s">
        <v>859</v>
      </c>
      <c r="I738" s="13"/>
      <c r="J738" s="13"/>
      <c r="K738" s="13"/>
      <c r="L738" s="13"/>
      <c r="M738" s="13"/>
      <c r="N738" s="10">
        <f>70000+70000</f>
        <v>140000</v>
      </c>
      <c r="O738" s="13"/>
      <c r="P738" s="13">
        <v>70000</v>
      </c>
      <c r="Q738" s="13"/>
      <c r="R738" s="13"/>
      <c r="T738" s="13">
        <f t="shared" si="205"/>
        <v>140000</v>
      </c>
    </row>
    <row r="739" spans="2:20" x14ac:dyDescent="0.25">
      <c r="B739" s="97">
        <f t="shared" si="204"/>
        <v>186</v>
      </c>
      <c r="C739" s="12"/>
      <c r="D739" s="12"/>
      <c r="E739" s="12"/>
      <c r="F739" s="12"/>
      <c r="G739" s="127"/>
      <c r="H739" s="91" t="s">
        <v>827</v>
      </c>
      <c r="I739" s="13"/>
      <c r="J739" s="13"/>
      <c r="K739" s="13"/>
      <c r="L739" s="13"/>
      <c r="M739" s="13"/>
      <c r="N739" s="10">
        <v>151990</v>
      </c>
      <c r="O739" s="13"/>
      <c r="P739" s="13">
        <v>151990</v>
      </c>
      <c r="Q739" s="13">
        <v>10832</v>
      </c>
      <c r="R739" s="13"/>
      <c r="T739" s="13">
        <f t="shared" si="205"/>
        <v>151990</v>
      </c>
    </row>
    <row r="740" spans="2:20" x14ac:dyDescent="0.25">
      <c r="B740" s="97">
        <f t="shared" si="204"/>
        <v>187</v>
      </c>
      <c r="C740" s="12"/>
      <c r="D740" s="12"/>
      <c r="E740" s="12"/>
      <c r="F740" s="12"/>
      <c r="G740" s="127"/>
      <c r="H740" s="91" t="s">
        <v>504</v>
      </c>
      <c r="I740" s="13"/>
      <c r="J740" s="13"/>
      <c r="K740" s="13"/>
      <c r="L740" s="13"/>
      <c r="M740" s="13"/>
      <c r="N740" s="10"/>
      <c r="O740" s="13"/>
      <c r="P740" s="13">
        <v>27160</v>
      </c>
      <c r="Q740" s="13"/>
      <c r="R740" s="13"/>
      <c r="T740" s="13">
        <f t="shared" si="205"/>
        <v>0</v>
      </c>
    </row>
    <row r="741" spans="2:20" x14ac:dyDescent="0.25">
      <c r="B741" s="97">
        <f t="shared" si="204"/>
        <v>188</v>
      </c>
      <c r="C741" s="12"/>
      <c r="D741" s="12"/>
      <c r="E741" s="12"/>
      <c r="F741" s="12"/>
      <c r="G741" s="127"/>
      <c r="H741" s="91" t="s">
        <v>829</v>
      </c>
      <c r="I741" s="13"/>
      <c r="J741" s="13"/>
      <c r="K741" s="13"/>
      <c r="L741" s="13"/>
      <c r="M741" s="13"/>
      <c r="N741" s="10">
        <v>1200</v>
      </c>
      <c r="O741" s="13"/>
      <c r="P741" s="13">
        <v>10000</v>
      </c>
      <c r="Q741" s="13"/>
      <c r="R741" s="13"/>
      <c r="T741" s="13">
        <f t="shared" si="205"/>
        <v>1200</v>
      </c>
    </row>
    <row r="742" spans="2:20" x14ac:dyDescent="0.25">
      <c r="B742" s="97">
        <f t="shared" si="204"/>
        <v>189</v>
      </c>
      <c r="C742" s="12"/>
      <c r="D742" s="12"/>
      <c r="E742" s="12"/>
      <c r="F742" s="12"/>
      <c r="G742" s="127"/>
      <c r="H742" s="91" t="s">
        <v>830</v>
      </c>
      <c r="I742" s="13"/>
      <c r="J742" s="13"/>
      <c r="K742" s="13"/>
      <c r="L742" s="13"/>
      <c r="M742" s="13"/>
      <c r="N742" s="10">
        <v>5000</v>
      </c>
      <c r="O742" s="13"/>
      <c r="P742" s="13">
        <v>5000</v>
      </c>
      <c r="Q742" s="13"/>
      <c r="R742" s="13"/>
      <c r="T742" s="13">
        <f t="shared" si="205"/>
        <v>5000</v>
      </c>
    </row>
    <row r="743" spans="2:20" x14ac:dyDescent="0.25">
      <c r="B743" s="97">
        <f t="shared" si="204"/>
        <v>190</v>
      </c>
      <c r="C743" s="12"/>
      <c r="D743" s="12"/>
      <c r="E743" s="12"/>
      <c r="F743" s="12"/>
      <c r="G743" s="127"/>
      <c r="H743" s="12" t="s">
        <v>505</v>
      </c>
      <c r="I743" s="13"/>
      <c r="J743" s="13"/>
      <c r="K743" s="13"/>
      <c r="L743" s="13"/>
      <c r="M743" s="13"/>
      <c r="N743" s="10"/>
      <c r="O743" s="13"/>
      <c r="P743" s="13"/>
      <c r="Q743" s="13"/>
      <c r="R743" s="13">
        <v>44000</v>
      </c>
      <c r="T743" s="13">
        <f t="shared" si="205"/>
        <v>0</v>
      </c>
    </row>
    <row r="744" spans="2:20" x14ac:dyDescent="0.25">
      <c r="B744" s="97">
        <f t="shared" si="204"/>
        <v>191</v>
      </c>
      <c r="C744" s="12"/>
      <c r="D744" s="12"/>
      <c r="E744" s="12"/>
      <c r="F744" s="12"/>
      <c r="G744" s="127"/>
      <c r="H744" s="12" t="s">
        <v>506</v>
      </c>
      <c r="I744" s="13"/>
      <c r="J744" s="13"/>
      <c r="K744" s="13"/>
      <c r="L744" s="13"/>
      <c r="M744" s="13"/>
      <c r="N744" s="10"/>
      <c r="O744" s="13"/>
      <c r="P744" s="13"/>
      <c r="Q744" s="13"/>
      <c r="R744" s="13">
        <v>17625</v>
      </c>
      <c r="T744" s="13">
        <f t="shared" si="205"/>
        <v>0</v>
      </c>
    </row>
    <row r="745" spans="2:20" x14ac:dyDescent="0.25">
      <c r="B745" s="97">
        <f t="shared" si="204"/>
        <v>192</v>
      </c>
      <c r="C745" s="12"/>
      <c r="D745" s="12"/>
      <c r="E745" s="12"/>
      <c r="F745" s="12"/>
      <c r="G745" s="127"/>
      <c r="H745" s="12" t="s">
        <v>507</v>
      </c>
      <c r="I745" s="13"/>
      <c r="J745" s="13"/>
      <c r="K745" s="13"/>
      <c r="L745" s="13"/>
      <c r="M745" s="13"/>
      <c r="N745" s="10"/>
      <c r="O745" s="13"/>
      <c r="P745" s="13"/>
      <c r="Q745" s="13"/>
      <c r="R745" s="13">
        <v>32525</v>
      </c>
      <c r="T745" s="13">
        <f t="shared" si="205"/>
        <v>0</v>
      </c>
    </row>
    <row r="746" spans="2:20" x14ac:dyDescent="0.25">
      <c r="B746" s="97">
        <f t="shared" si="204"/>
        <v>193</v>
      </c>
      <c r="C746" s="12"/>
      <c r="D746" s="12"/>
      <c r="E746" s="12"/>
      <c r="F746" s="12"/>
      <c r="G746" s="127"/>
      <c r="H746" s="12" t="s">
        <v>778</v>
      </c>
      <c r="I746" s="13"/>
      <c r="J746" s="13"/>
      <c r="K746" s="13"/>
      <c r="L746" s="13"/>
      <c r="M746" s="13"/>
      <c r="N746" s="10"/>
      <c r="O746" s="13"/>
      <c r="P746" s="13"/>
      <c r="Q746" s="13"/>
      <c r="R746" s="13">
        <v>15949</v>
      </c>
      <c r="T746" s="13">
        <f t="shared" si="205"/>
        <v>0</v>
      </c>
    </row>
    <row r="747" spans="2:20" ht="23.25" x14ac:dyDescent="0.25">
      <c r="B747" s="97">
        <f t="shared" si="204"/>
        <v>194</v>
      </c>
      <c r="C747" s="12"/>
      <c r="D747" s="12"/>
      <c r="E747" s="12"/>
      <c r="F747" s="12"/>
      <c r="G747" s="127"/>
      <c r="H747" s="114" t="s">
        <v>779</v>
      </c>
      <c r="I747" s="13"/>
      <c r="J747" s="13"/>
      <c r="K747" s="13"/>
      <c r="L747" s="13"/>
      <c r="M747" s="13"/>
      <c r="N747" s="10"/>
      <c r="O747" s="13"/>
      <c r="P747" s="13">
        <f>30000+4000</f>
        <v>34000</v>
      </c>
      <c r="Q747" s="13"/>
      <c r="R747" s="13"/>
      <c r="T747" s="13">
        <f t="shared" si="205"/>
        <v>0</v>
      </c>
    </row>
    <row r="748" spans="2:20" x14ac:dyDescent="0.25">
      <c r="B748" s="97">
        <f t="shared" si="204"/>
        <v>195</v>
      </c>
      <c r="C748" s="12"/>
      <c r="D748" s="12"/>
      <c r="E748" s="12"/>
      <c r="F748" s="12"/>
      <c r="G748" s="127"/>
      <c r="H748" s="91" t="s">
        <v>860</v>
      </c>
      <c r="I748" s="13"/>
      <c r="J748" s="13"/>
      <c r="K748" s="13"/>
      <c r="L748" s="13"/>
      <c r="M748" s="13"/>
      <c r="N748" s="10">
        <f>27700+50000</f>
        <v>77700</v>
      </c>
      <c r="O748" s="13"/>
      <c r="P748" s="13">
        <v>27700</v>
      </c>
      <c r="Q748" s="13"/>
      <c r="R748" s="13"/>
      <c r="T748" s="13">
        <f t="shared" si="205"/>
        <v>77700</v>
      </c>
    </row>
    <row r="749" spans="2:20" x14ac:dyDescent="0.25">
      <c r="B749" s="97">
        <f t="shared" ref="B749:B758" si="206">B748+1</f>
        <v>196</v>
      </c>
      <c r="C749" s="12"/>
      <c r="D749" s="12"/>
      <c r="E749" s="12"/>
      <c r="F749" s="12"/>
      <c r="G749" s="127"/>
      <c r="H749" s="91" t="s">
        <v>780</v>
      </c>
      <c r="I749" s="13"/>
      <c r="J749" s="13"/>
      <c r="K749" s="13"/>
      <c r="L749" s="13"/>
      <c r="M749" s="13"/>
      <c r="N749" s="10"/>
      <c r="O749" s="13"/>
      <c r="P749" s="13">
        <v>45000</v>
      </c>
      <c r="Q749" s="13"/>
      <c r="R749" s="13"/>
      <c r="T749" s="13">
        <f t="shared" si="205"/>
        <v>0</v>
      </c>
    </row>
    <row r="750" spans="2:20" x14ac:dyDescent="0.25">
      <c r="B750" s="97">
        <f t="shared" si="206"/>
        <v>197</v>
      </c>
      <c r="C750" s="12"/>
      <c r="D750" s="12"/>
      <c r="E750" s="12"/>
      <c r="F750" s="12"/>
      <c r="G750" s="127"/>
      <c r="H750" s="91" t="s">
        <v>907</v>
      </c>
      <c r="I750" s="13"/>
      <c r="J750" s="13"/>
      <c r="K750" s="13"/>
      <c r="L750" s="13"/>
      <c r="M750" s="13"/>
      <c r="N750" s="10">
        <v>10000</v>
      </c>
      <c r="O750" s="13"/>
      <c r="P750" s="13"/>
      <c r="Q750" s="13"/>
      <c r="R750" s="13"/>
      <c r="T750" s="13">
        <f t="shared" ref="T750:T760" si="207">N750+I750</f>
        <v>10000</v>
      </c>
    </row>
    <row r="751" spans="2:20" x14ac:dyDescent="0.25">
      <c r="B751" s="97">
        <f t="shared" si="206"/>
        <v>198</v>
      </c>
      <c r="C751" s="12"/>
      <c r="D751" s="12"/>
      <c r="E751" s="12"/>
      <c r="F751" s="12"/>
      <c r="G751" s="127"/>
      <c r="H751" s="91" t="s">
        <v>864</v>
      </c>
      <c r="I751" s="13"/>
      <c r="J751" s="13"/>
      <c r="K751" s="13"/>
      <c r="L751" s="13"/>
      <c r="M751" s="13"/>
      <c r="N751" s="10">
        <v>40000</v>
      </c>
      <c r="O751" s="13"/>
      <c r="P751" s="13"/>
      <c r="Q751" s="13"/>
      <c r="R751" s="13"/>
      <c r="T751" s="13">
        <f t="shared" si="207"/>
        <v>40000</v>
      </c>
    </row>
    <row r="752" spans="2:20" x14ac:dyDescent="0.25">
      <c r="B752" s="97">
        <f t="shared" si="206"/>
        <v>199</v>
      </c>
      <c r="C752" s="12"/>
      <c r="D752" s="12"/>
      <c r="E752" s="12"/>
      <c r="F752" s="12"/>
      <c r="G752" s="127"/>
      <c r="H752" s="91" t="s">
        <v>865</v>
      </c>
      <c r="I752" s="13"/>
      <c r="J752" s="13"/>
      <c r="K752" s="13"/>
      <c r="L752" s="13"/>
      <c r="M752" s="13"/>
      <c r="N752" s="10">
        <v>60000</v>
      </c>
      <c r="O752" s="13"/>
      <c r="P752" s="13"/>
      <c r="Q752" s="13"/>
      <c r="R752" s="13"/>
      <c r="T752" s="13">
        <f t="shared" si="207"/>
        <v>60000</v>
      </c>
    </row>
    <row r="753" spans="2:20" x14ac:dyDescent="0.25">
      <c r="B753" s="97">
        <f t="shared" si="206"/>
        <v>200</v>
      </c>
      <c r="C753" s="12"/>
      <c r="D753" s="12"/>
      <c r="E753" s="12"/>
      <c r="F753" s="12"/>
      <c r="G753" s="127"/>
      <c r="H753" s="91" t="s">
        <v>866</v>
      </c>
      <c r="I753" s="13"/>
      <c r="J753" s="13"/>
      <c r="K753" s="13"/>
      <c r="L753" s="13"/>
      <c r="M753" s="13"/>
      <c r="N753" s="10">
        <v>113800</v>
      </c>
      <c r="O753" s="13"/>
      <c r="P753" s="13"/>
      <c r="Q753" s="13"/>
      <c r="R753" s="13"/>
      <c r="T753" s="13">
        <f t="shared" si="207"/>
        <v>113800</v>
      </c>
    </row>
    <row r="754" spans="2:20" x14ac:dyDescent="0.25">
      <c r="B754" s="97">
        <f t="shared" si="206"/>
        <v>201</v>
      </c>
      <c r="C754" s="12"/>
      <c r="D754" s="12"/>
      <c r="E754" s="12"/>
      <c r="F754" s="12"/>
      <c r="G754" s="127"/>
      <c r="H754" s="91" t="s">
        <v>951</v>
      </c>
      <c r="I754" s="13"/>
      <c r="J754" s="13"/>
      <c r="K754" s="13"/>
      <c r="L754" s="13"/>
      <c r="M754" s="13"/>
      <c r="N754" s="10">
        <v>4000</v>
      </c>
      <c r="O754" s="13"/>
      <c r="P754" s="13"/>
      <c r="Q754" s="13"/>
      <c r="R754" s="13"/>
      <c r="T754" s="13">
        <f t="shared" si="207"/>
        <v>4000</v>
      </c>
    </row>
    <row r="755" spans="2:20" x14ac:dyDescent="0.25">
      <c r="B755" s="97">
        <f t="shared" si="206"/>
        <v>202</v>
      </c>
      <c r="C755" s="12"/>
      <c r="D755" s="12"/>
      <c r="E755" s="12"/>
      <c r="F755" s="12"/>
      <c r="G755" s="127"/>
      <c r="H755" s="91" t="s">
        <v>861</v>
      </c>
      <c r="I755" s="13"/>
      <c r="J755" s="13"/>
      <c r="K755" s="13"/>
      <c r="L755" s="13"/>
      <c r="M755" s="13"/>
      <c r="N755" s="10">
        <v>23000</v>
      </c>
      <c r="O755" s="13"/>
      <c r="P755" s="13"/>
      <c r="Q755" s="13"/>
      <c r="R755" s="13"/>
      <c r="T755" s="13">
        <f t="shared" si="207"/>
        <v>23000</v>
      </c>
    </row>
    <row r="756" spans="2:20" x14ac:dyDescent="0.25">
      <c r="B756" s="97">
        <f t="shared" si="206"/>
        <v>203</v>
      </c>
      <c r="C756" s="12"/>
      <c r="D756" s="12"/>
      <c r="E756" s="12"/>
      <c r="F756" s="12"/>
      <c r="G756" s="127"/>
      <c r="H756" s="91" t="s">
        <v>930</v>
      </c>
      <c r="I756" s="13"/>
      <c r="J756" s="13"/>
      <c r="K756" s="13"/>
      <c r="L756" s="13"/>
      <c r="M756" s="13"/>
      <c r="N756" s="10">
        <v>34000</v>
      </c>
      <c r="O756" s="13"/>
      <c r="P756" s="13"/>
      <c r="Q756" s="13"/>
      <c r="R756" s="13"/>
      <c r="T756" s="13">
        <f t="shared" si="207"/>
        <v>34000</v>
      </c>
    </row>
    <row r="757" spans="2:20" x14ac:dyDescent="0.25">
      <c r="B757" s="97">
        <f t="shared" si="206"/>
        <v>204</v>
      </c>
      <c r="C757" s="12"/>
      <c r="D757" s="12"/>
      <c r="E757" s="12"/>
      <c r="F757" s="12"/>
      <c r="G757" s="127"/>
      <c r="H757" s="91" t="s">
        <v>857</v>
      </c>
      <c r="I757" s="13"/>
      <c r="J757" s="13"/>
      <c r="K757" s="13"/>
      <c r="L757" s="13"/>
      <c r="M757" s="13"/>
      <c r="N757" s="10">
        <v>100000</v>
      </c>
      <c r="O757" s="13"/>
      <c r="P757" s="13">
        <v>100000</v>
      </c>
      <c r="Q757" s="13"/>
      <c r="R757" s="13"/>
      <c r="T757" s="13">
        <f t="shared" si="207"/>
        <v>100000</v>
      </c>
    </row>
    <row r="758" spans="2:20" x14ac:dyDescent="0.25">
      <c r="B758" s="97">
        <f t="shared" si="206"/>
        <v>205</v>
      </c>
      <c r="C758" s="29"/>
      <c r="D758" s="29"/>
      <c r="E758" s="29"/>
      <c r="F758" s="53" t="s">
        <v>377</v>
      </c>
      <c r="G758" s="125">
        <v>720</v>
      </c>
      <c r="H758" s="29" t="s">
        <v>413</v>
      </c>
      <c r="I758" s="15"/>
      <c r="J758" s="15"/>
      <c r="K758" s="15"/>
      <c r="L758" s="15"/>
      <c r="M758" s="15"/>
      <c r="N758" s="15"/>
      <c r="O758" s="15">
        <f t="shared" ref="O758:P758" si="208">O759</f>
        <v>55000</v>
      </c>
      <c r="P758" s="15">
        <f t="shared" si="208"/>
        <v>278676</v>
      </c>
      <c r="Q758" s="15"/>
      <c r="R758" s="15"/>
      <c r="T758" s="15">
        <f t="shared" si="207"/>
        <v>0</v>
      </c>
    </row>
    <row r="759" spans="2:20" x14ac:dyDescent="0.25">
      <c r="B759" s="97">
        <f t="shared" ref="B759" si="209">B758+1</f>
        <v>206</v>
      </c>
      <c r="C759" s="9"/>
      <c r="D759" s="9"/>
      <c r="E759" s="9"/>
      <c r="F759" s="54" t="s">
        <v>377</v>
      </c>
      <c r="G759" s="126">
        <v>723</v>
      </c>
      <c r="H759" s="9" t="s">
        <v>771</v>
      </c>
      <c r="I759" s="10"/>
      <c r="J759" s="10"/>
      <c r="K759" s="10"/>
      <c r="L759" s="10"/>
      <c r="M759" s="10"/>
      <c r="N759" s="10"/>
      <c r="O759" s="10">
        <v>55000</v>
      </c>
      <c r="P759" s="10">
        <f>P760</f>
        <v>278676</v>
      </c>
      <c r="Q759" s="10"/>
      <c r="R759" s="10"/>
      <c r="T759" s="10">
        <f t="shared" si="207"/>
        <v>0</v>
      </c>
    </row>
    <row r="760" spans="2:20" x14ac:dyDescent="0.25">
      <c r="B760" s="97">
        <f t="shared" ref="B760" si="210">B759+1</f>
        <v>207</v>
      </c>
      <c r="C760" s="12"/>
      <c r="D760" s="12"/>
      <c r="E760" s="12"/>
      <c r="F760" s="12"/>
      <c r="G760" s="127"/>
      <c r="H760" s="12" t="s">
        <v>431</v>
      </c>
      <c r="I760" s="13"/>
      <c r="J760" s="13"/>
      <c r="K760" s="13"/>
      <c r="L760" s="13"/>
      <c r="M760" s="13"/>
      <c r="N760" s="10"/>
      <c r="O760" s="13"/>
      <c r="P760" s="13">
        <v>278676</v>
      </c>
      <c r="Q760" s="13"/>
      <c r="R760" s="13"/>
      <c r="T760" s="13">
        <f t="shared" si="207"/>
        <v>0</v>
      </c>
    </row>
    <row r="783" spans="2:20" ht="27" x14ac:dyDescent="0.35">
      <c r="B783" s="310" t="s">
        <v>509</v>
      </c>
      <c r="C783" s="311"/>
      <c r="D783" s="311"/>
      <c r="E783" s="311"/>
      <c r="F783" s="311"/>
      <c r="G783" s="311"/>
      <c r="H783" s="311"/>
      <c r="I783" s="311"/>
      <c r="J783" s="311"/>
      <c r="K783" s="311"/>
      <c r="L783" s="311"/>
      <c r="M783" s="311"/>
      <c r="N783" s="311"/>
      <c r="O783" s="311"/>
      <c r="P783" s="311"/>
      <c r="Q783" s="311"/>
      <c r="R783" s="311"/>
    </row>
    <row r="784" spans="2:20" ht="15.75" customHeight="1" x14ac:dyDescent="0.25">
      <c r="B784" s="279" t="s">
        <v>286</v>
      </c>
      <c r="C784" s="280"/>
      <c r="D784" s="280"/>
      <c r="E784" s="280"/>
      <c r="F784" s="280"/>
      <c r="G784" s="280"/>
      <c r="H784" s="280"/>
      <c r="I784" s="280"/>
      <c r="J784" s="280"/>
      <c r="K784" s="280"/>
      <c r="L784" s="280"/>
      <c r="M784" s="280"/>
      <c r="N784" s="280"/>
      <c r="O784" s="280"/>
      <c r="P784" s="280"/>
      <c r="Q784" s="280"/>
      <c r="R784" s="281"/>
      <c r="T784" s="314" t="s">
        <v>937</v>
      </c>
    </row>
    <row r="785" spans="2:20" ht="12.75" customHeight="1" x14ac:dyDescent="0.25">
      <c r="B785" s="282"/>
      <c r="C785" s="285" t="s">
        <v>287</v>
      </c>
      <c r="D785" s="285" t="s">
        <v>288</v>
      </c>
      <c r="E785" s="285" t="s">
        <v>289</v>
      </c>
      <c r="F785" s="285" t="s">
        <v>290</v>
      </c>
      <c r="G785" s="303" t="s">
        <v>291</v>
      </c>
      <c r="H785" s="305" t="s">
        <v>292</v>
      </c>
      <c r="I785" s="308" t="s">
        <v>935</v>
      </c>
      <c r="J785" s="299" t="s">
        <v>293</v>
      </c>
      <c r="K785" s="299" t="s">
        <v>294</v>
      </c>
      <c r="L785" s="288" t="s">
        <v>295</v>
      </c>
      <c r="M785" s="288" t="s">
        <v>296</v>
      </c>
      <c r="N785" s="301" t="s">
        <v>936</v>
      </c>
      <c r="O785" s="297" t="s">
        <v>297</v>
      </c>
      <c r="P785" s="299" t="s">
        <v>772</v>
      </c>
      <c r="Q785" s="288" t="s">
        <v>298</v>
      </c>
      <c r="R785" s="288" t="s">
        <v>299</v>
      </c>
      <c r="T785" s="314"/>
    </row>
    <row r="786" spans="2:20" x14ac:dyDescent="0.25">
      <c r="B786" s="283"/>
      <c r="C786" s="286"/>
      <c r="D786" s="286"/>
      <c r="E786" s="286"/>
      <c r="F786" s="286"/>
      <c r="G786" s="303"/>
      <c r="H786" s="306"/>
      <c r="I786" s="308"/>
      <c r="J786" s="299"/>
      <c r="K786" s="299"/>
      <c r="L786" s="288"/>
      <c r="M786" s="288"/>
      <c r="N786" s="301"/>
      <c r="O786" s="297"/>
      <c r="P786" s="299"/>
      <c r="Q786" s="288"/>
      <c r="R786" s="288"/>
      <c r="T786" s="314"/>
    </row>
    <row r="787" spans="2:20" x14ac:dyDescent="0.25">
      <c r="B787" s="283"/>
      <c r="C787" s="286"/>
      <c r="D787" s="286"/>
      <c r="E787" s="286"/>
      <c r="F787" s="286"/>
      <c r="G787" s="303"/>
      <c r="H787" s="306"/>
      <c r="I787" s="308"/>
      <c r="J787" s="299"/>
      <c r="K787" s="299"/>
      <c r="L787" s="288"/>
      <c r="M787" s="288"/>
      <c r="N787" s="301"/>
      <c r="O787" s="297"/>
      <c r="P787" s="299"/>
      <c r="Q787" s="288"/>
      <c r="R787" s="288"/>
      <c r="T787" s="314"/>
    </row>
    <row r="788" spans="2:20" ht="15.75" thickBot="1" x14ac:dyDescent="0.3">
      <c r="B788" s="284"/>
      <c r="C788" s="287"/>
      <c r="D788" s="287"/>
      <c r="E788" s="287"/>
      <c r="F788" s="287"/>
      <c r="G788" s="304"/>
      <c r="H788" s="307"/>
      <c r="I788" s="309"/>
      <c r="J788" s="300"/>
      <c r="K788" s="300"/>
      <c r="L788" s="289"/>
      <c r="M788" s="289"/>
      <c r="N788" s="302"/>
      <c r="O788" s="298"/>
      <c r="P788" s="300"/>
      <c r="Q788" s="289"/>
      <c r="R788" s="289"/>
      <c r="T788" s="314"/>
    </row>
    <row r="789" spans="2:20" ht="16.5" thickTop="1" x14ac:dyDescent="0.25">
      <c r="B789" s="98">
        <v>1</v>
      </c>
      <c r="C789" s="290" t="s">
        <v>509</v>
      </c>
      <c r="D789" s="291"/>
      <c r="E789" s="291"/>
      <c r="F789" s="291"/>
      <c r="G789" s="291"/>
      <c r="H789" s="292"/>
      <c r="I789" s="44">
        <f>I790+I1061+I1341+I1466+I1771</f>
        <v>14943954</v>
      </c>
      <c r="J789" s="44">
        <f>J1771+J1466+J1341+J1061+J790</f>
        <v>13648900</v>
      </c>
      <c r="K789" s="44">
        <f>K1771+K1466+K1341+K1061+K790</f>
        <v>13829052</v>
      </c>
      <c r="L789" s="44">
        <f>L1771+L1466+L1341+L1061+L790</f>
        <v>12599433.140000001</v>
      </c>
      <c r="M789" s="44">
        <f>M1771+M1466+M1341+M1061+M790</f>
        <v>11909140</v>
      </c>
      <c r="N789" s="44">
        <f>N790+N1061+N1341+N1466+N1771</f>
        <v>762902</v>
      </c>
      <c r="O789" s="44">
        <f>O1771+O1466+O1341+O1061+O790</f>
        <v>604976</v>
      </c>
      <c r="P789" s="44">
        <f>P1771+P1466+P1341+P1061+P790</f>
        <v>1342216</v>
      </c>
      <c r="Q789" s="44">
        <f>Q1771+Q1466+Q1341+Q1061+Q790</f>
        <v>307629.76</v>
      </c>
      <c r="R789" s="44">
        <f>R1771+R1466+R1341+R1061+R790</f>
        <v>394738.35</v>
      </c>
      <c r="T789" s="44">
        <f>I789+N789</f>
        <v>15706856</v>
      </c>
    </row>
    <row r="790" spans="2:20" ht="15.75" x14ac:dyDescent="0.25">
      <c r="B790" s="97">
        <f>B789+1</f>
        <v>2</v>
      </c>
      <c r="C790" s="45">
        <v>1</v>
      </c>
      <c r="D790" s="293" t="s">
        <v>510</v>
      </c>
      <c r="E790" s="294"/>
      <c r="F790" s="294"/>
      <c r="G790" s="294"/>
      <c r="H790" s="295"/>
      <c r="I790" s="46">
        <f>I794+I796+I808+I811+I828</f>
        <v>3757259</v>
      </c>
      <c r="J790" s="46">
        <f t="shared" ref="J790:R790" si="211">J791</f>
        <v>3399469</v>
      </c>
      <c r="K790" s="46">
        <f t="shared" si="211"/>
        <v>3426617</v>
      </c>
      <c r="L790" s="46">
        <f t="shared" si="211"/>
        <v>2919438</v>
      </c>
      <c r="M790" s="46">
        <f t="shared" si="211"/>
        <v>2577996</v>
      </c>
      <c r="N790" s="46">
        <f>N808+N811+N828</f>
        <v>235000</v>
      </c>
      <c r="O790" s="46">
        <f t="shared" si="211"/>
        <v>362976</v>
      </c>
      <c r="P790" s="46">
        <f t="shared" si="211"/>
        <v>730956</v>
      </c>
      <c r="Q790" s="46">
        <f t="shared" si="211"/>
        <v>91828</v>
      </c>
      <c r="R790" s="46">
        <f t="shared" si="211"/>
        <v>174586.95</v>
      </c>
      <c r="T790" s="46">
        <f t="shared" ref="T790:T853" si="212">I790+N790</f>
        <v>3992259</v>
      </c>
    </row>
    <row r="791" spans="2:20" hidden="1" x14ac:dyDescent="0.25">
      <c r="B791" s="97">
        <f t="shared" ref="B791:B853" si="213">B790+1</f>
        <v>3</v>
      </c>
      <c r="C791" s="47"/>
      <c r="D791" s="47" t="s">
        <v>60</v>
      </c>
      <c r="E791" s="296"/>
      <c r="F791" s="294"/>
      <c r="G791" s="294"/>
      <c r="H791" s="295"/>
      <c r="I791" s="48" t="e">
        <f>#REF!+#REF!</f>
        <v>#REF!</v>
      </c>
      <c r="J791" s="48">
        <f>J828+J811+J792</f>
        <v>3399469</v>
      </c>
      <c r="K791" s="48">
        <f>K828+K811+K792</f>
        <v>3426617</v>
      </c>
      <c r="L791" s="48">
        <f>L828+L811+L792</f>
        <v>2919438</v>
      </c>
      <c r="M791" s="48">
        <f>M828+M811+M792</f>
        <v>2577996</v>
      </c>
      <c r="N791" s="48" t="e">
        <f>#REF!+#REF!</f>
        <v>#REF!</v>
      </c>
      <c r="O791" s="48">
        <f>O828+O811+O792</f>
        <v>362976</v>
      </c>
      <c r="P791" s="48">
        <f>P828+P811+P792</f>
        <v>730956</v>
      </c>
      <c r="Q791" s="48">
        <f>Q828+Q811+Q792</f>
        <v>91828</v>
      </c>
      <c r="R791" s="48">
        <f>R828+R811+R792</f>
        <v>174586.95</v>
      </c>
      <c r="T791" s="48" t="e">
        <f t="shared" si="212"/>
        <v>#REF!</v>
      </c>
    </row>
    <row r="792" spans="2:20" hidden="1" x14ac:dyDescent="0.25">
      <c r="B792" s="97">
        <f t="shared" si="213"/>
        <v>4</v>
      </c>
      <c r="C792" s="49"/>
      <c r="D792" s="49"/>
      <c r="E792" s="49"/>
      <c r="F792" s="49"/>
      <c r="G792" s="123"/>
      <c r="H792" s="49" t="s">
        <v>12</v>
      </c>
      <c r="I792" s="50" t="e">
        <f>#REF!+#REF!</f>
        <v>#REF!</v>
      </c>
      <c r="J792" s="50">
        <f t="shared" ref="J792:R792" si="214">J793</f>
        <v>366099</v>
      </c>
      <c r="K792" s="50">
        <f t="shared" si="214"/>
        <v>366099</v>
      </c>
      <c r="L792" s="50">
        <f t="shared" si="214"/>
        <v>190460</v>
      </c>
      <c r="M792" s="50">
        <f t="shared" si="214"/>
        <v>135177</v>
      </c>
      <c r="N792" s="50" t="e">
        <f>#REF!+#REF!</f>
        <v>#REF!</v>
      </c>
      <c r="O792" s="50">
        <f t="shared" si="214"/>
        <v>0</v>
      </c>
      <c r="P792" s="50">
        <f t="shared" si="214"/>
        <v>0</v>
      </c>
      <c r="Q792" s="50">
        <f t="shared" si="214"/>
        <v>0</v>
      </c>
      <c r="R792" s="50">
        <f t="shared" si="214"/>
        <v>36493.160000000003</v>
      </c>
      <c r="T792" s="50" t="e">
        <f t="shared" si="212"/>
        <v>#REF!</v>
      </c>
    </row>
    <row r="793" spans="2:20" hidden="1" x14ac:dyDescent="0.25">
      <c r="B793" s="97">
        <f t="shared" si="213"/>
        <v>5</v>
      </c>
      <c r="C793" s="51"/>
      <c r="D793" s="51"/>
      <c r="E793" s="51" t="s">
        <v>60</v>
      </c>
      <c r="F793" s="51"/>
      <c r="G793" s="124"/>
      <c r="H793" s="51"/>
      <c r="I793" s="52" t="e">
        <f>#REF!+#REF!</f>
        <v>#REF!</v>
      </c>
      <c r="J793" s="52">
        <f>J808+J796+J794</f>
        <v>366099</v>
      </c>
      <c r="K793" s="52">
        <f>K808+K796+K794</f>
        <v>366099</v>
      </c>
      <c r="L793" s="52">
        <f>L808+L796+L794</f>
        <v>190460</v>
      </c>
      <c r="M793" s="52">
        <f>M808+M796+M794</f>
        <v>135177</v>
      </c>
      <c r="N793" s="52" t="e">
        <f>#REF!+#REF!</f>
        <v>#REF!</v>
      </c>
      <c r="O793" s="52">
        <f>O808+O796+O794</f>
        <v>0</v>
      </c>
      <c r="P793" s="52">
        <f>P808+P796+P794</f>
        <v>0</v>
      </c>
      <c r="Q793" s="52">
        <f>Q808+Q796+Q794</f>
        <v>0</v>
      </c>
      <c r="R793" s="52">
        <f>R808+R796+R794</f>
        <v>36493.160000000003</v>
      </c>
      <c r="T793" s="52" t="e">
        <f t="shared" si="212"/>
        <v>#REF!</v>
      </c>
    </row>
    <row r="794" spans="2:20" x14ac:dyDescent="0.25">
      <c r="B794" s="97">
        <f t="shared" si="213"/>
        <v>6</v>
      </c>
      <c r="C794" s="29"/>
      <c r="D794" s="29"/>
      <c r="E794" s="29"/>
      <c r="F794" s="53" t="s">
        <v>511</v>
      </c>
      <c r="G794" s="125">
        <v>630</v>
      </c>
      <c r="H794" s="152" t="s">
        <v>303</v>
      </c>
      <c r="I794" s="15">
        <f>I795</f>
        <v>0</v>
      </c>
      <c r="J794" s="15">
        <f t="shared" ref="J794:M794" si="215">J795</f>
        <v>0</v>
      </c>
      <c r="K794" s="15">
        <f t="shared" si="215"/>
        <v>0</v>
      </c>
      <c r="L794" s="15">
        <f t="shared" si="215"/>
        <v>0</v>
      </c>
      <c r="M794" s="15">
        <f t="shared" si="215"/>
        <v>2157</v>
      </c>
      <c r="N794" s="15"/>
      <c r="O794" s="15"/>
      <c r="P794" s="15"/>
      <c r="Q794" s="15"/>
      <c r="R794" s="15"/>
      <c r="T794" s="15">
        <f t="shared" si="212"/>
        <v>0</v>
      </c>
    </row>
    <row r="795" spans="2:20" x14ac:dyDescent="0.25">
      <c r="B795" s="97">
        <f t="shared" si="213"/>
        <v>7</v>
      </c>
      <c r="C795" s="9"/>
      <c r="D795" s="9"/>
      <c r="E795" s="9"/>
      <c r="F795" s="54" t="s">
        <v>511</v>
      </c>
      <c r="G795" s="126">
        <v>635</v>
      </c>
      <c r="H795" s="9" t="s">
        <v>320</v>
      </c>
      <c r="I795" s="10"/>
      <c r="J795" s="10"/>
      <c r="K795" s="10"/>
      <c r="L795" s="10"/>
      <c r="M795" s="10">
        <v>2157</v>
      </c>
      <c r="N795" s="10"/>
      <c r="O795" s="10"/>
      <c r="P795" s="10"/>
      <c r="Q795" s="10"/>
      <c r="R795" s="10"/>
      <c r="T795" s="10">
        <f t="shared" si="212"/>
        <v>0</v>
      </c>
    </row>
    <row r="796" spans="2:20" x14ac:dyDescent="0.25">
      <c r="B796" s="97">
        <f t="shared" si="213"/>
        <v>8</v>
      </c>
      <c r="C796" s="29"/>
      <c r="D796" s="29"/>
      <c r="E796" s="29"/>
      <c r="F796" s="53" t="s">
        <v>511</v>
      </c>
      <c r="G796" s="125">
        <v>640</v>
      </c>
      <c r="H796" s="29" t="s">
        <v>315</v>
      </c>
      <c r="I796" s="15">
        <f>I797</f>
        <v>538264</v>
      </c>
      <c r="J796" s="15">
        <f t="shared" ref="J796:M796" si="216">J797</f>
        <v>366099</v>
      </c>
      <c r="K796" s="15">
        <f t="shared" si="216"/>
        <v>366099</v>
      </c>
      <c r="L796" s="15">
        <f t="shared" si="216"/>
        <v>190460</v>
      </c>
      <c r="M796" s="15">
        <f t="shared" si="216"/>
        <v>133020</v>
      </c>
      <c r="N796" s="15"/>
      <c r="O796" s="15"/>
      <c r="P796" s="15"/>
      <c r="Q796" s="15"/>
      <c r="R796" s="15"/>
      <c r="T796" s="15">
        <f t="shared" si="212"/>
        <v>538264</v>
      </c>
    </row>
    <row r="797" spans="2:20" x14ac:dyDescent="0.25">
      <c r="B797" s="97">
        <f t="shared" si="213"/>
        <v>9</v>
      </c>
      <c r="C797" s="9"/>
      <c r="D797" s="9"/>
      <c r="E797" s="9"/>
      <c r="F797" s="54" t="s">
        <v>511</v>
      </c>
      <c r="G797" s="126">
        <v>642</v>
      </c>
      <c r="H797" s="9" t="s">
        <v>316</v>
      </c>
      <c r="I797" s="10">
        <f>I798+I799+I800+I801+I802+I803+I804+I805+I806+I807</f>
        <v>538264</v>
      </c>
      <c r="J797" s="10">
        <f>J806+J805+J804+J803+J802+J801+J800+J799+J798</f>
        <v>366099</v>
      </c>
      <c r="K797" s="10">
        <f>K806+K805+K804+K803+K802+K801+K800+K799+K798</f>
        <v>366099</v>
      </c>
      <c r="L797" s="10">
        <f>L806+L805+L804+L803+L802+L801+L800+L799+L798</f>
        <v>190460</v>
      </c>
      <c r="M797" s="10">
        <f>M806+M805+M804+M803+M802+M801+M800+M799+M798</f>
        <v>133020</v>
      </c>
      <c r="N797" s="10"/>
      <c r="O797" s="10"/>
      <c r="P797" s="10"/>
      <c r="Q797" s="10"/>
      <c r="R797" s="10"/>
      <c r="T797" s="10">
        <f t="shared" si="212"/>
        <v>538264</v>
      </c>
    </row>
    <row r="798" spans="2:20" x14ac:dyDescent="0.25">
      <c r="B798" s="97">
        <f t="shared" si="213"/>
        <v>10</v>
      </c>
      <c r="C798" s="12"/>
      <c r="D798" s="12"/>
      <c r="E798" s="12"/>
      <c r="F798" s="12"/>
      <c r="G798" s="127"/>
      <c r="H798" s="12" t="s">
        <v>787</v>
      </c>
      <c r="I798" s="13">
        <v>121907</v>
      </c>
      <c r="J798" s="13">
        <v>95582</v>
      </c>
      <c r="K798" s="13">
        <v>95582</v>
      </c>
      <c r="L798" s="13">
        <v>83226</v>
      </c>
      <c r="M798" s="13">
        <v>42452</v>
      </c>
      <c r="N798" s="13"/>
      <c r="O798" s="13"/>
      <c r="P798" s="13"/>
      <c r="Q798" s="13"/>
      <c r="R798" s="13"/>
      <c r="T798" s="13">
        <f t="shared" si="212"/>
        <v>121907</v>
      </c>
    </row>
    <row r="799" spans="2:20" x14ac:dyDescent="0.25">
      <c r="B799" s="97">
        <f t="shared" si="213"/>
        <v>11</v>
      </c>
      <c r="C799" s="12"/>
      <c r="D799" s="12"/>
      <c r="E799" s="12"/>
      <c r="F799" s="12"/>
      <c r="G799" s="127"/>
      <c r="H799" s="12" t="s">
        <v>788</v>
      </c>
      <c r="I799" s="13">
        <v>79336</v>
      </c>
      <c r="J799" s="13">
        <v>73941</v>
      </c>
      <c r="K799" s="13">
        <v>73941</v>
      </c>
      <c r="L799" s="13">
        <v>67221</v>
      </c>
      <c r="M799" s="13">
        <v>58020</v>
      </c>
      <c r="N799" s="13"/>
      <c r="O799" s="13"/>
      <c r="P799" s="13"/>
      <c r="Q799" s="13"/>
      <c r="R799" s="13"/>
      <c r="T799" s="13">
        <f t="shared" si="212"/>
        <v>79336</v>
      </c>
    </row>
    <row r="800" spans="2:20" x14ac:dyDescent="0.25">
      <c r="B800" s="97">
        <f t="shared" si="213"/>
        <v>12</v>
      </c>
      <c r="C800" s="12"/>
      <c r="D800" s="12"/>
      <c r="E800" s="12"/>
      <c r="F800" s="12"/>
      <c r="G800" s="127"/>
      <c r="H800" s="12" t="s">
        <v>789</v>
      </c>
      <c r="I800" s="13">
        <v>40636</v>
      </c>
      <c r="J800" s="13">
        <v>45086</v>
      </c>
      <c r="K800" s="13">
        <v>45086</v>
      </c>
      <c r="L800" s="13">
        <v>40013</v>
      </c>
      <c r="M800" s="13">
        <v>32548</v>
      </c>
      <c r="N800" s="13"/>
      <c r="O800" s="13"/>
      <c r="P800" s="13"/>
      <c r="Q800" s="13"/>
      <c r="R800" s="13"/>
      <c r="T800" s="13">
        <f t="shared" si="212"/>
        <v>40636</v>
      </c>
    </row>
    <row r="801" spans="2:20" x14ac:dyDescent="0.25">
      <c r="B801" s="97">
        <f t="shared" si="213"/>
        <v>13</v>
      </c>
      <c r="C801" s="12"/>
      <c r="D801" s="12"/>
      <c r="E801" s="12"/>
      <c r="F801" s="12"/>
      <c r="G801" s="127"/>
      <c r="H801" s="12" t="s">
        <v>790</v>
      </c>
      <c r="I801" s="13">
        <v>27091</v>
      </c>
      <c r="J801" s="13">
        <v>21642</v>
      </c>
      <c r="K801" s="13">
        <v>21642</v>
      </c>
      <c r="L801" s="13"/>
      <c r="M801" s="13"/>
      <c r="N801" s="13"/>
      <c r="O801" s="13"/>
      <c r="P801" s="13"/>
      <c r="Q801" s="13"/>
      <c r="R801" s="13"/>
      <c r="T801" s="13">
        <f t="shared" si="212"/>
        <v>27091</v>
      </c>
    </row>
    <row r="802" spans="2:20" x14ac:dyDescent="0.25">
      <c r="B802" s="97">
        <f t="shared" si="213"/>
        <v>14</v>
      </c>
      <c r="C802" s="12"/>
      <c r="D802" s="12"/>
      <c r="E802" s="12"/>
      <c r="F802" s="12"/>
      <c r="G802" s="127"/>
      <c r="H802" s="12" t="s">
        <v>791</v>
      </c>
      <c r="I802" s="13">
        <v>69661</v>
      </c>
      <c r="J802" s="13">
        <v>36069</v>
      </c>
      <c r="K802" s="13">
        <v>36069</v>
      </c>
      <c r="L802" s="13"/>
      <c r="M802" s="13"/>
      <c r="N802" s="13"/>
      <c r="O802" s="13"/>
      <c r="P802" s="13"/>
      <c r="Q802" s="13"/>
      <c r="R802" s="13"/>
      <c r="T802" s="13">
        <f t="shared" si="212"/>
        <v>69661</v>
      </c>
    </row>
    <row r="803" spans="2:20" x14ac:dyDescent="0.25">
      <c r="B803" s="97">
        <f t="shared" si="213"/>
        <v>15</v>
      </c>
      <c r="C803" s="12"/>
      <c r="D803" s="12"/>
      <c r="E803" s="12"/>
      <c r="F803" s="12"/>
      <c r="G803" s="127"/>
      <c r="H803" s="12" t="s">
        <v>792</v>
      </c>
      <c r="I803" s="13">
        <v>87076</v>
      </c>
      <c r="J803" s="13">
        <v>75744</v>
      </c>
      <c r="K803" s="13">
        <v>75744</v>
      </c>
      <c r="L803" s="13"/>
      <c r="M803" s="13"/>
      <c r="N803" s="13"/>
      <c r="O803" s="13"/>
      <c r="P803" s="13"/>
      <c r="Q803" s="13"/>
      <c r="R803" s="13"/>
      <c r="T803" s="13">
        <f t="shared" si="212"/>
        <v>87076</v>
      </c>
    </row>
    <row r="804" spans="2:20" x14ac:dyDescent="0.25">
      <c r="B804" s="97">
        <f t="shared" si="213"/>
        <v>16</v>
      </c>
      <c r="C804" s="12"/>
      <c r="D804" s="12"/>
      <c r="E804" s="12"/>
      <c r="F804" s="12"/>
      <c r="G804" s="127"/>
      <c r="H804" s="12" t="s">
        <v>512</v>
      </c>
      <c r="I804" s="13">
        <v>0</v>
      </c>
      <c r="J804" s="13">
        <v>18035</v>
      </c>
      <c r="K804" s="13"/>
      <c r="L804" s="13"/>
      <c r="M804" s="13"/>
      <c r="N804" s="13"/>
      <c r="O804" s="13"/>
      <c r="P804" s="13"/>
      <c r="Q804" s="13"/>
      <c r="R804" s="13"/>
      <c r="T804" s="13">
        <f t="shared" si="212"/>
        <v>0</v>
      </c>
    </row>
    <row r="805" spans="2:20" x14ac:dyDescent="0.25">
      <c r="B805" s="97">
        <f t="shared" si="213"/>
        <v>17</v>
      </c>
      <c r="C805" s="12"/>
      <c r="D805" s="12"/>
      <c r="E805" s="12"/>
      <c r="F805" s="12"/>
      <c r="G805" s="127"/>
      <c r="H805" s="12" t="s">
        <v>793</v>
      </c>
      <c r="I805" s="13">
        <v>69661</v>
      </c>
      <c r="J805" s="13">
        <v>0</v>
      </c>
      <c r="K805" s="13"/>
      <c r="L805" s="13"/>
      <c r="M805" s="13"/>
      <c r="N805" s="13"/>
      <c r="O805" s="13"/>
      <c r="P805" s="13"/>
      <c r="Q805" s="13"/>
      <c r="R805" s="13"/>
      <c r="T805" s="13">
        <f t="shared" si="212"/>
        <v>69661</v>
      </c>
    </row>
    <row r="806" spans="2:20" x14ac:dyDescent="0.25">
      <c r="B806" s="97">
        <f t="shared" si="213"/>
        <v>18</v>
      </c>
      <c r="C806" s="12"/>
      <c r="D806" s="12"/>
      <c r="E806" s="12"/>
      <c r="F806" s="12"/>
      <c r="G806" s="127"/>
      <c r="H806" s="12" t="s">
        <v>794</v>
      </c>
      <c r="I806" s="13">
        <v>42571</v>
      </c>
      <c r="J806" s="13">
        <v>0</v>
      </c>
      <c r="K806" s="13">
        <v>18035</v>
      </c>
      <c r="L806" s="13"/>
      <c r="M806" s="13"/>
      <c r="N806" s="13"/>
      <c r="O806" s="13"/>
      <c r="P806" s="13"/>
      <c r="Q806" s="13"/>
      <c r="R806" s="13"/>
      <c r="T806" s="13">
        <f t="shared" si="212"/>
        <v>42571</v>
      </c>
    </row>
    <row r="807" spans="2:20" x14ac:dyDescent="0.25">
      <c r="B807" s="97">
        <f t="shared" si="213"/>
        <v>19</v>
      </c>
      <c r="C807" s="12"/>
      <c r="D807" s="12"/>
      <c r="E807" s="12"/>
      <c r="F807" s="12"/>
      <c r="G807" s="127"/>
      <c r="H807" s="12" t="s">
        <v>807</v>
      </c>
      <c r="I807" s="13">
        <v>325</v>
      </c>
      <c r="J807" s="13"/>
      <c r="K807" s="13"/>
      <c r="L807" s="13"/>
      <c r="M807" s="13"/>
      <c r="N807" s="13"/>
      <c r="O807" s="13"/>
      <c r="P807" s="13"/>
      <c r="Q807" s="13"/>
      <c r="R807" s="13"/>
      <c r="T807" s="13">
        <f t="shared" si="212"/>
        <v>325</v>
      </c>
    </row>
    <row r="808" spans="2:20" x14ac:dyDescent="0.25">
      <c r="B808" s="97">
        <f t="shared" si="213"/>
        <v>20</v>
      </c>
      <c r="C808" s="29"/>
      <c r="D808" s="29"/>
      <c r="E808" s="29"/>
      <c r="F808" s="53" t="s">
        <v>511</v>
      </c>
      <c r="G808" s="125">
        <v>710</v>
      </c>
      <c r="H808" s="29" t="s">
        <v>321</v>
      </c>
      <c r="I808" s="15"/>
      <c r="J808" s="15"/>
      <c r="K808" s="15"/>
      <c r="L808" s="15"/>
      <c r="M808" s="15"/>
      <c r="N808" s="15"/>
      <c r="O808" s="15"/>
      <c r="P808" s="15"/>
      <c r="Q808" s="15"/>
      <c r="R808" s="15">
        <f t="shared" ref="R808" si="217">R809</f>
        <v>36493.160000000003</v>
      </c>
      <c r="T808" s="15">
        <f t="shared" si="212"/>
        <v>0</v>
      </c>
    </row>
    <row r="809" spans="2:20" x14ac:dyDescent="0.25">
      <c r="B809" s="97">
        <f t="shared" si="213"/>
        <v>21</v>
      </c>
      <c r="C809" s="9"/>
      <c r="D809" s="9"/>
      <c r="E809" s="9"/>
      <c r="F809" s="54" t="s">
        <v>511</v>
      </c>
      <c r="G809" s="126">
        <v>717</v>
      </c>
      <c r="H809" s="9" t="s">
        <v>327</v>
      </c>
      <c r="I809" s="10"/>
      <c r="J809" s="10"/>
      <c r="K809" s="10"/>
      <c r="L809" s="10"/>
      <c r="M809" s="10"/>
      <c r="N809" s="10"/>
      <c r="O809" s="10"/>
      <c r="P809" s="10"/>
      <c r="Q809" s="10"/>
      <c r="R809" s="10">
        <f t="shared" ref="R809" si="218">R810</f>
        <v>36493.160000000003</v>
      </c>
      <c r="T809" s="10">
        <f t="shared" si="212"/>
        <v>0</v>
      </c>
    </row>
    <row r="810" spans="2:20" x14ac:dyDescent="0.25">
      <c r="B810" s="97">
        <f t="shared" si="213"/>
        <v>22</v>
      </c>
      <c r="C810" s="12"/>
      <c r="D810" s="12"/>
      <c r="E810" s="12"/>
      <c r="F810" s="12"/>
      <c r="G810" s="127"/>
      <c r="H810" s="12" t="s">
        <v>524</v>
      </c>
      <c r="I810" s="13"/>
      <c r="J810" s="13"/>
      <c r="K810" s="13"/>
      <c r="L810" s="13"/>
      <c r="M810" s="13"/>
      <c r="N810" s="13"/>
      <c r="O810" s="13"/>
      <c r="P810" s="13"/>
      <c r="Q810" s="13"/>
      <c r="R810" s="13">
        <f>8783.16+27710</f>
        <v>36493.160000000003</v>
      </c>
      <c r="T810" s="13">
        <f t="shared" si="212"/>
        <v>0</v>
      </c>
    </row>
    <row r="811" spans="2:20" x14ac:dyDescent="0.25">
      <c r="B811" s="97">
        <f t="shared" si="213"/>
        <v>23</v>
      </c>
      <c r="C811" s="49"/>
      <c r="D811" s="49"/>
      <c r="E811" s="49">
        <v>3</v>
      </c>
      <c r="F811" s="49"/>
      <c r="G811" s="123"/>
      <c r="H811" s="49" t="s">
        <v>99</v>
      </c>
      <c r="I811" s="50">
        <f>I813+I814+I815+I821</f>
        <v>436332</v>
      </c>
      <c r="J811" s="50">
        <f>J813+J814+J815+J821</f>
        <v>415563</v>
      </c>
      <c r="K811" s="50">
        <f>K813+K814+K815+K821</f>
        <v>417563</v>
      </c>
      <c r="L811" s="50">
        <f>L813+L814+L815+L821</f>
        <v>377213</v>
      </c>
      <c r="M811" s="50">
        <f>M813+M814+M815+M821</f>
        <v>340750</v>
      </c>
      <c r="N811" s="50">
        <f>N822</f>
        <v>0</v>
      </c>
      <c r="O811" s="50">
        <f t="shared" ref="O811:R811" si="219">O822</f>
        <v>55000</v>
      </c>
      <c r="P811" s="50">
        <f t="shared" si="219"/>
        <v>64660</v>
      </c>
      <c r="Q811" s="50">
        <f t="shared" si="219"/>
        <v>0</v>
      </c>
      <c r="R811" s="50">
        <f t="shared" si="219"/>
        <v>980</v>
      </c>
      <c r="T811" s="50">
        <f t="shared" si="212"/>
        <v>436332</v>
      </c>
    </row>
    <row r="812" spans="2:20" hidden="1" x14ac:dyDescent="0.25">
      <c r="B812" s="97">
        <f t="shared" si="213"/>
        <v>24</v>
      </c>
      <c r="C812" s="51"/>
      <c r="D812" s="51"/>
      <c r="E812" s="51" t="s">
        <v>60</v>
      </c>
      <c r="F812" s="51"/>
      <c r="G812" s="124"/>
      <c r="H812" s="51"/>
      <c r="I812" s="52" t="e">
        <f>#REF!+#REF!</f>
        <v>#REF!</v>
      </c>
      <c r="J812" s="52" t="e">
        <f>#REF!+J821+J815+J814+J813</f>
        <v>#REF!</v>
      </c>
      <c r="K812" s="52" t="e">
        <f>#REF!+K821+K815+K814+K813</f>
        <v>#REF!</v>
      </c>
      <c r="L812" s="52" t="e">
        <f>#REF!+L821+L815+L814+L813</f>
        <v>#REF!</v>
      </c>
      <c r="M812" s="52" t="e">
        <f>#REF!+M821+M815+M814+M813</f>
        <v>#REF!</v>
      </c>
      <c r="N812" s="52"/>
      <c r="O812" s="52" t="e">
        <f>#REF!+O821+O815+O814+O813</f>
        <v>#REF!</v>
      </c>
      <c r="P812" s="52" t="e">
        <f>#REF!+P821+P815+P814+P813</f>
        <v>#REF!</v>
      </c>
      <c r="Q812" s="52" t="e">
        <f>#REF!+Q821+Q815+Q814+Q813</f>
        <v>#REF!</v>
      </c>
      <c r="R812" s="52" t="e">
        <f>#REF!+R821+R815+R814+R813</f>
        <v>#REF!</v>
      </c>
      <c r="T812" s="52" t="e">
        <f t="shared" si="212"/>
        <v>#REF!</v>
      </c>
    </row>
    <row r="813" spans="2:20" x14ac:dyDescent="0.25">
      <c r="B813" s="97">
        <f t="shared" si="213"/>
        <v>25</v>
      </c>
      <c r="C813" s="29"/>
      <c r="D813" s="29"/>
      <c r="E813" s="29"/>
      <c r="F813" s="53" t="s">
        <v>511</v>
      </c>
      <c r="G813" s="125">
        <v>610</v>
      </c>
      <c r="H813" s="29" t="s">
        <v>338</v>
      </c>
      <c r="I813" s="15">
        <f>249103+1800</f>
        <v>250903</v>
      </c>
      <c r="J813" s="15">
        <v>233795</v>
      </c>
      <c r="K813" s="15">
        <v>235095</v>
      </c>
      <c r="L813" s="15">
        <v>215526</v>
      </c>
      <c r="M813" s="15">
        <v>196982</v>
      </c>
      <c r="N813" s="15"/>
      <c r="O813" s="15"/>
      <c r="P813" s="15"/>
      <c r="Q813" s="15"/>
      <c r="R813" s="15"/>
      <c r="T813" s="15">
        <f t="shared" si="212"/>
        <v>250903</v>
      </c>
    </row>
    <row r="814" spans="2:20" x14ac:dyDescent="0.25">
      <c r="B814" s="97">
        <f t="shared" si="213"/>
        <v>26</v>
      </c>
      <c r="C814" s="29"/>
      <c r="D814" s="29"/>
      <c r="E814" s="29"/>
      <c r="F814" s="53" t="s">
        <v>511</v>
      </c>
      <c r="G814" s="125">
        <v>620</v>
      </c>
      <c r="H814" s="29" t="s">
        <v>313</v>
      </c>
      <c r="I814" s="15">
        <f>91412+630</f>
        <v>92042</v>
      </c>
      <c r="J814" s="15">
        <v>88720</v>
      </c>
      <c r="K814" s="15">
        <v>89420</v>
      </c>
      <c r="L814" s="15">
        <v>78635</v>
      </c>
      <c r="M814" s="15">
        <v>71790</v>
      </c>
      <c r="N814" s="15"/>
      <c r="O814" s="15"/>
      <c r="P814" s="15"/>
      <c r="Q814" s="15"/>
      <c r="R814" s="15"/>
      <c r="T814" s="15">
        <f t="shared" si="212"/>
        <v>92042</v>
      </c>
    </row>
    <row r="815" spans="2:20" x14ac:dyDescent="0.25">
      <c r="B815" s="97">
        <f t="shared" si="213"/>
        <v>27</v>
      </c>
      <c r="C815" s="29"/>
      <c r="D815" s="29"/>
      <c r="E815" s="29"/>
      <c r="F815" s="53" t="s">
        <v>511</v>
      </c>
      <c r="G815" s="125">
        <v>630</v>
      </c>
      <c r="H815" s="29" t="s">
        <v>303</v>
      </c>
      <c r="I815" s="15">
        <f>I816+I817+I818+I819+I820</f>
        <v>90927</v>
      </c>
      <c r="J815" s="15">
        <f>J820+J819+J818+J817+J816</f>
        <v>87768</v>
      </c>
      <c r="K815" s="15">
        <f>K820+K819+K818+K817+K816</f>
        <v>87768</v>
      </c>
      <c r="L815" s="15">
        <f>L820+L819+L818+L817+L816</f>
        <v>82578</v>
      </c>
      <c r="M815" s="15">
        <f>M820+M819+M818+M817+M816</f>
        <v>71359</v>
      </c>
      <c r="N815" s="15"/>
      <c r="O815" s="15"/>
      <c r="P815" s="15"/>
      <c r="Q815" s="15"/>
      <c r="R815" s="15"/>
      <c r="T815" s="15">
        <f t="shared" si="212"/>
        <v>90927</v>
      </c>
    </row>
    <row r="816" spans="2:20" x14ac:dyDescent="0.25">
      <c r="B816" s="97">
        <f t="shared" si="213"/>
        <v>28</v>
      </c>
      <c r="C816" s="9"/>
      <c r="D816" s="9"/>
      <c r="E816" s="9"/>
      <c r="F816" s="54" t="s">
        <v>511</v>
      </c>
      <c r="G816" s="126">
        <v>632</v>
      </c>
      <c r="H816" s="9" t="s">
        <v>314</v>
      </c>
      <c r="I816" s="10">
        <v>52350</v>
      </c>
      <c r="J816" s="10">
        <v>49700</v>
      </c>
      <c r="K816" s="10">
        <v>49700</v>
      </c>
      <c r="L816" s="10">
        <v>50916</v>
      </c>
      <c r="M816" s="10">
        <v>47550</v>
      </c>
      <c r="N816" s="10"/>
      <c r="O816" s="10"/>
      <c r="P816" s="10"/>
      <c r="Q816" s="10"/>
      <c r="R816" s="10"/>
      <c r="T816" s="10">
        <f t="shared" si="212"/>
        <v>52350</v>
      </c>
    </row>
    <row r="817" spans="2:20" x14ac:dyDescent="0.25">
      <c r="B817" s="97">
        <f t="shared" si="213"/>
        <v>29</v>
      </c>
      <c r="C817" s="9"/>
      <c r="D817" s="9"/>
      <c r="E817" s="9"/>
      <c r="F817" s="54" t="s">
        <v>511</v>
      </c>
      <c r="G817" s="126">
        <v>633</v>
      </c>
      <c r="H817" s="9" t="s">
        <v>305</v>
      </c>
      <c r="I817" s="10">
        <v>17427</v>
      </c>
      <c r="J817" s="10">
        <v>22288</v>
      </c>
      <c r="K817" s="10">
        <v>22288</v>
      </c>
      <c r="L817" s="10">
        <v>16739</v>
      </c>
      <c r="M817" s="10">
        <v>8826</v>
      </c>
      <c r="N817" s="10"/>
      <c r="O817" s="10"/>
      <c r="P817" s="10"/>
      <c r="Q817" s="10"/>
      <c r="R817" s="10"/>
      <c r="T817" s="10">
        <f t="shared" si="212"/>
        <v>17427</v>
      </c>
    </row>
    <row r="818" spans="2:20" x14ac:dyDescent="0.25">
      <c r="B818" s="97">
        <f t="shared" si="213"/>
        <v>30</v>
      </c>
      <c r="C818" s="9"/>
      <c r="D818" s="9"/>
      <c r="E818" s="9"/>
      <c r="F818" s="54" t="s">
        <v>511</v>
      </c>
      <c r="G818" s="126">
        <v>635</v>
      </c>
      <c r="H818" s="9" t="s">
        <v>320</v>
      </c>
      <c r="I818" s="10">
        <v>6500</v>
      </c>
      <c r="J818" s="10">
        <v>1000</v>
      </c>
      <c r="K818" s="10">
        <v>1000</v>
      </c>
      <c r="L818" s="10">
        <v>876</v>
      </c>
      <c r="M818" s="10">
        <v>895</v>
      </c>
      <c r="N818" s="10"/>
      <c r="O818" s="10"/>
      <c r="P818" s="10"/>
      <c r="Q818" s="10"/>
      <c r="R818" s="10"/>
      <c r="T818" s="10">
        <f t="shared" si="212"/>
        <v>6500</v>
      </c>
    </row>
    <row r="819" spans="2:20" x14ac:dyDescent="0.25">
      <c r="B819" s="97">
        <f t="shared" si="213"/>
        <v>31</v>
      </c>
      <c r="C819" s="9"/>
      <c r="D819" s="9"/>
      <c r="E819" s="9"/>
      <c r="F819" s="54" t="s">
        <v>511</v>
      </c>
      <c r="G819" s="126">
        <v>636</v>
      </c>
      <c r="H819" s="9" t="s">
        <v>307</v>
      </c>
      <c r="I819" s="10">
        <v>7200</v>
      </c>
      <c r="J819" s="10">
        <v>7200</v>
      </c>
      <c r="K819" s="10">
        <v>7200</v>
      </c>
      <c r="L819" s="10">
        <v>7080</v>
      </c>
      <c r="M819" s="10">
        <v>7016</v>
      </c>
      <c r="N819" s="10"/>
      <c r="O819" s="10"/>
      <c r="P819" s="10"/>
      <c r="Q819" s="10"/>
      <c r="R819" s="10"/>
      <c r="T819" s="10">
        <f t="shared" si="212"/>
        <v>7200</v>
      </c>
    </row>
    <row r="820" spans="2:20" x14ac:dyDescent="0.25">
      <c r="B820" s="97">
        <f t="shared" si="213"/>
        <v>32</v>
      </c>
      <c r="C820" s="9"/>
      <c r="D820" s="9"/>
      <c r="E820" s="9"/>
      <c r="F820" s="54" t="s">
        <v>511</v>
      </c>
      <c r="G820" s="126">
        <v>637</v>
      </c>
      <c r="H820" s="9" t="s">
        <v>308</v>
      </c>
      <c r="I820" s="10">
        <v>7450</v>
      </c>
      <c r="J820" s="10">
        <v>7580</v>
      </c>
      <c r="K820" s="10">
        <v>7580</v>
      </c>
      <c r="L820" s="10">
        <v>6967</v>
      </c>
      <c r="M820" s="10">
        <v>7072</v>
      </c>
      <c r="N820" s="10"/>
      <c r="O820" s="10"/>
      <c r="P820" s="10"/>
      <c r="Q820" s="10"/>
      <c r="R820" s="10"/>
      <c r="T820" s="10">
        <f t="shared" si="212"/>
        <v>7450</v>
      </c>
    </row>
    <row r="821" spans="2:20" x14ac:dyDescent="0.25">
      <c r="B821" s="97">
        <f t="shared" si="213"/>
        <v>33</v>
      </c>
      <c r="C821" s="29"/>
      <c r="D821" s="29"/>
      <c r="E821" s="29"/>
      <c r="F821" s="53" t="s">
        <v>511</v>
      </c>
      <c r="G821" s="125">
        <v>640</v>
      </c>
      <c r="H821" s="29" t="s">
        <v>315</v>
      </c>
      <c r="I821" s="15">
        <v>2460</v>
      </c>
      <c r="J821" s="15">
        <v>5280</v>
      </c>
      <c r="K821" s="15">
        <v>5280</v>
      </c>
      <c r="L821" s="15">
        <v>474</v>
      </c>
      <c r="M821" s="15">
        <v>619</v>
      </c>
      <c r="N821" s="15"/>
      <c r="O821" s="15"/>
      <c r="P821" s="15"/>
      <c r="Q821" s="15"/>
      <c r="R821" s="15"/>
      <c r="T821" s="15">
        <f t="shared" si="212"/>
        <v>2460</v>
      </c>
    </row>
    <row r="822" spans="2:20" x14ac:dyDescent="0.25">
      <c r="B822" s="97">
        <f t="shared" si="213"/>
        <v>34</v>
      </c>
      <c r="C822" s="29"/>
      <c r="D822" s="29"/>
      <c r="E822" s="29"/>
      <c r="F822" s="53" t="s">
        <v>511</v>
      </c>
      <c r="G822" s="125">
        <v>710</v>
      </c>
      <c r="H822" s="29" t="s">
        <v>321</v>
      </c>
      <c r="I822" s="15"/>
      <c r="J822" s="15"/>
      <c r="K822" s="15"/>
      <c r="L822" s="15"/>
      <c r="M822" s="15"/>
      <c r="N822" s="15"/>
      <c r="O822" s="15">
        <f t="shared" ref="O822:R822" si="220">O823+O826</f>
        <v>55000</v>
      </c>
      <c r="P822" s="15">
        <f t="shared" si="220"/>
        <v>64660</v>
      </c>
      <c r="Q822" s="15"/>
      <c r="R822" s="15">
        <f t="shared" si="220"/>
        <v>980</v>
      </c>
      <c r="T822" s="15">
        <f t="shared" si="212"/>
        <v>0</v>
      </c>
    </row>
    <row r="823" spans="2:20" x14ac:dyDescent="0.25">
      <c r="B823" s="97">
        <f t="shared" si="213"/>
        <v>35</v>
      </c>
      <c r="C823" s="29"/>
      <c r="D823" s="29"/>
      <c r="E823" s="29"/>
      <c r="F823" s="54" t="s">
        <v>511</v>
      </c>
      <c r="G823" s="126">
        <v>716</v>
      </c>
      <c r="H823" s="9" t="s">
        <v>323</v>
      </c>
      <c r="I823" s="15"/>
      <c r="J823" s="15"/>
      <c r="K823" s="15"/>
      <c r="L823" s="15"/>
      <c r="M823" s="15"/>
      <c r="N823" s="15"/>
      <c r="O823" s="15"/>
      <c r="P823" s="15">
        <f t="shared" ref="P823:R823" si="221">P824+P825</f>
        <v>9660</v>
      </c>
      <c r="Q823" s="15"/>
      <c r="R823" s="15">
        <f t="shared" si="221"/>
        <v>980</v>
      </c>
      <c r="T823" s="15">
        <f t="shared" si="212"/>
        <v>0</v>
      </c>
    </row>
    <row r="824" spans="2:20" x14ac:dyDescent="0.25">
      <c r="B824" s="97">
        <f t="shared" si="213"/>
        <v>36</v>
      </c>
      <c r="C824" s="12"/>
      <c r="D824" s="12"/>
      <c r="E824" s="12"/>
      <c r="F824" s="12"/>
      <c r="G824" s="127"/>
      <c r="H824" s="12" t="s">
        <v>519</v>
      </c>
      <c r="I824" s="13"/>
      <c r="J824" s="13"/>
      <c r="K824" s="13"/>
      <c r="L824" s="13"/>
      <c r="M824" s="13"/>
      <c r="N824" s="13"/>
      <c r="O824" s="13"/>
      <c r="P824" s="13">
        <v>9660</v>
      </c>
      <c r="Q824" s="13"/>
      <c r="R824" s="13"/>
      <c r="T824" s="13">
        <f t="shared" si="212"/>
        <v>0</v>
      </c>
    </row>
    <row r="825" spans="2:20" x14ac:dyDescent="0.25">
      <c r="B825" s="97">
        <f t="shared" si="213"/>
        <v>37</v>
      </c>
      <c r="C825" s="12"/>
      <c r="D825" s="12"/>
      <c r="E825" s="12"/>
      <c r="F825" s="12"/>
      <c r="G825" s="127"/>
      <c r="H825" s="12" t="s">
        <v>523</v>
      </c>
      <c r="I825" s="13"/>
      <c r="J825" s="13"/>
      <c r="K825" s="13"/>
      <c r="L825" s="13"/>
      <c r="M825" s="13"/>
      <c r="N825" s="13"/>
      <c r="O825" s="13"/>
      <c r="P825" s="13"/>
      <c r="Q825" s="13"/>
      <c r="R825" s="13">
        <v>980</v>
      </c>
      <c r="T825" s="13">
        <f t="shared" si="212"/>
        <v>0</v>
      </c>
    </row>
    <row r="826" spans="2:20" x14ac:dyDescent="0.25">
      <c r="B826" s="97">
        <f t="shared" si="213"/>
        <v>38</v>
      </c>
      <c r="C826" s="29"/>
      <c r="D826" s="29"/>
      <c r="E826" s="29"/>
      <c r="F826" s="54" t="s">
        <v>511</v>
      </c>
      <c r="G826" s="126">
        <v>717</v>
      </c>
      <c r="H826" s="9" t="s">
        <v>327</v>
      </c>
      <c r="I826" s="15"/>
      <c r="J826" s="15"/>
      <c r="K826" s="15"/>
      <c r="L826" s="15"/>
      <c r="M826" s="15"/>
      <c r="N826" s="15"/>
      <c r="O826" s="15">
        <f t="shared" ref="O826:P826" si="222">O827</f>
        <v>55000</v>
      </c>
      <c r="P826" s="15">
        <f t="shared" si="222"/>
        <v>55000</v>
      </c>
      <c r="Q826" s="15"/>
      <c r="R826" s="15"/>
      <c r="T826" s="15">
        <f t="shared" si="212"/>
        <v>0</v>
      </c>
    </row>
    <row r="827" spans="2:20" x14ac:dyDescent="0.25">
      <c r="B827" s="97">
        <f t="shared" si="213"/>
        <v>39</v>
      </c>
      <c r="C827" s="12"/>
      <c r="D827" s="12"/>
      <c r="E827" s="12"/>
      <c r="F827" s="12"/>
      <c r="G827" s="127"/>
      <c r="H827" s="12" t="s">
        <v>523</v>
      </c>
      <c r="I827" s="13"/>
      <c r="J827" s="13"/>
      <c r="K827" s="13"/>
      <c r="L827" s="13"/>
      <c r="M827" s="13"/>
      <c r="N827" s="13"/>
      <c r="O827" s="13">
        <v>55000</v>
      </c>
      <c r="P827" s="13">
        <v>55000</v>
      </c>
      <c r="Q827" s="13"/>
      <c r="R827" s="13"/>
      <c r="T827" s="13">
        <f t="shared" si="212"/>
        <v>0</v>
      </c>
    </row>
    <row r="828" spans="2:20" x14ac:dyDescent="0.25">
      <c r="B828" s="97">
        <f t="shared" si="213"/>
        <v>40</v>
      </c>
      <c r="C828" s="49"/>
      <c r="D828" s="49"/>
      <c r="E828" s="49">
        <v>4</v>
      </c>
      <c r="F828" s="49"/>
      <c r="G828" s="123"/>
      <c r="H828" s="49" t="s">
        <v>100</v>
      </c>
      <c r="I828" s="50">
        <f>I829+I834+I836+I850+I868+I882+I897+I907+I924+I939+I956+I974+I990+I1007+I1020+I1033+I1047</f>
        <v>2782663</v>
      </c>
      <c r="J828" s="50">
        <f>J1047+J1033+J1020+J1007+J990+J974+J956+J939+J924+J907+J897+J882+J868+J850+J836+J834+J829</f>
        <v>2617807</v>
      </c>
      <c r="K828" s="50">
        <f>K830+K833+K834+K836+K850+K868+K882+K897+K907+K924+K939+K956+K974+K990+K1007+K1020+K1033+K1047</f>
        <v>2642955</v>
      </c>
      <c r="L828" s="50">
        <f>L1047+L1033+L1020+L1007+L990+L974+L956+L939+L924+L907+L897+L882+L868+L850+L836+L834+L829</f>
        <v>2351765</v>
      </c>
      <c r="M828" s="50">
        <f>M1047+M1033+M1020+M1007+M990+M974+M956+M939+M924+M907+M897+M882+M868+M850+M836+M834+M829</f>
        <v>2102069</v>
      </c>
      <c r="N828" s="50">
        <f>N836+N850+N868+N882+N897+N907+N924+N939+N956+N974+N990+N1007+N1020+N1033+N1047</f>
        <v>235000</v>
      </c>
      <c r="O828" s="50">
        <f>O836+O850+O868+O882+O897+O907+O924+O939+O956+O974+O990+O1007+O1020+O1033+O1047</f>
        <v>307976</v>
      </c>
      <c r="P828" s="50">
        <f>P836+P850+P868+P882+P897+P907+P924+P939+P956+P974+P990+P1007+P1020+P1033+P1047</f>
        <v>666296</v>
      </c>
      <c r="Q828" s="50">
        <f>Q836+Q850+Q868+Q882+Q897+Q907+Q924+Q939+Q956+Q974+Q990+Q1007+Q1020+Q1033+Q1047</f>
        <v>91828</v>
      </c>
      <c r="R828" s="50">
        <f>R836+R850+R868+R882+R897+R907+R924+R939+R956+R974+R990+R1007+R1020+R1033+R1047</f>
        <v>137113.79</v>
      </c>
      <c r="T828" s="50">
        <f t="shared" si="212"/>
        <v>3017663</v>
      </c>
    </row>
    <row r="829" spans="2:20" hidden="1" x14ac:dyDescent="0.25">
      <c r="B829" s="97">
        <f t="shared" si="213"/>
        <v>41</v>
      </c>
      <c r="C829" s="51"/>
      <c r="D829" s="51"/>
      <c r="E829" s="51" t="s">
        <v>60</v>
      </c>
      <c r="F829" s="51"/>
      <c r="G829" s="124"/>
      <c r="H829" s="51"/>
      <c r="I829" s="52">
        <f>I830</f>
        <v>22600</v>
      </c>
      <c r="J829" s="52">
        <f>J830</f>
        <v>30000</v>
      </c>
      <c r="K829" s="52">
        <f>K830+K833+K834</f>
        <v>29788</v>
      </c>
      <c r="L829" s="52">
        <v>0</v>
      </c>
      <c r="M829" s="52">
        <v>0</v>
      </c>
      <c r="N829" s="52"/>
      <c r="O829" s="52"/>
      <c r="P829" s="52"/>
      <c r="Q829" s="52"/>
      <c r="R829" s="52"/>
      <c r="T829" s="52">
        <f t="shared" si="212"/>
        <v>22600</v>
      </c>
    </row>
    <row r="830" spans="2:20" x14ac:dyDescent="0.25">
      <c r="B830" s="97">
        <f t="shared" si="213"/>
        <v>42</v>
      </c>
      <c r="C830" s="29"/>
      <c r="D830" s="29"/>
      <c r="E830" s="29"/>
      <c r="F830" s="53" t="s">
        <v>511</v>
      </c>
      <c r="G830" s="125">
        <v>630</v>
      </c>
      <c r="H830" s="29" t="s">
        <v>303</v>
      </c>
      <c r="I830" s="15">
        <f>I831+I832</f>
        <v>22600</v>
      </c>
      <c r="J830" s="15">
        <f>J831</f>
        <v>30000</v>
      </c>
      <c r="K830" s="15">
        <f>K831</f>
        <v>28500</v>
      </c>
      <c r="L830" s="15">
        <f>L831</f>
        <v>0</v>
      </c>
      <c r="M830" s="15">
        <f>M831</f>
        <v>0</v>
      </c>
      <c r="N830" s="15"/>
      <c r="O830" s="15"/>
      <c r="P830" s="15"/>
      <c r="Q830" s="15"/>
      <c r="R830" s="15"/>
      <c r="T830" s="15">
        <f t="shared" si="212"/>
        <v>22600</v>
      </c>
    </row>
    <row r="831" spans="2:20" x14ac:dyDescent="0.25">
      <c r="B831" s="97">
        <f t="shared" si="213"/>
        <v>43</v>
      </c>
      <c r="C831" s="9"/>
      <c r="D831" s="9"/>
      <c r="E831" s="9"/>
      <c r="F831" s="54" t="s">
        <v>511</v>
      </c>
      <c r="G831" s="126">
        <v>635</v>
      </c>
      <c r="H831" s="9" t="s">
        <v>320</v>
      </c>
      <c r="I831" s="10">
        <f>30000-10000</f>
        <v>20000</v>
      </c>
      <c r="J831" s="10">
        <v>30000</v>
      </c>
      <c r="K831" s="10">
        <v>28500</v>
      </c>
      <c r="L831" s="10">
        <v>0</v>
      </c>
      <c r="M831" s="10">
        <v>0</v>
      </c>
      <c r="N831" s="10"/>
      <c r="O831" s="10"/>
      <c r="P831" s="10"/>
      <c r="Q831" s="10"/>
      <c r="R831" s="10"/>
      <c r="T831" s="10">
        <f t="shared" si="212"/>
        <v>20000</v>
      </c>
    </row>
    <row r="832" spans="2:20" x14ac:dyDescent="0.25">
      <c r="B832" s="97">
        <f t="shared" si="213"/>
        <v>44</v>
      </c>
      <c r="C832" s="9"/>
      <c r="D832" s="9"/>
      <c r="E832" s="9"/>
      <c r="F832" s="54" t="s">
        <v>511</v>
      </c>
      <c r="G832" s="126">
        <v>637</v>
      </c>
      <c r="H832" s="9" t="s">
        <v>807</v>
      </c>
      <c r="I832" s="10">
        <v>2600</v>
      </c>
      <c r="J832" s="10"/>
      <c r="K832" s="10"/>
      <c r="L832" s="10"/>
      <c r="M832" s="10"/>
      <c r="N832" s="10"/>
      <c r="O832" s="10"/>
      <c r="P832" s="10"/>
      <c r="Q832" s="10"/>
      <c r="R832" s="10"/>
      <c r="T832" s="10">
        <f t="shared" si="212"/>
        <v>2600</v>
      </c>
    </row>
    <row r="833" spans="2:20" x14ac:dyDescent="0.25">
      <c r="B833" s="97">
        <f t="shared" si="213"/>
        <v>45</v>
      </c>
      <c r="C833" s="9"/>
      <c r="D833" s="9"/>
      <c r="E833" s="9"/>
      <c r="F833" s="60" t="s">
        <v>511</v>
      </c>
      <c r="G833" s="129">
        <v>630</v>
      </c>
      <c r="H833" s="7" t="s">
        <v>539</v>
      </c>
      <c r="I833" s="8">
        <v>0</v>
      </c>
      <c r="J833" s="8"/>
      <c r="K833" s="8">
        <v>803</v>
      </c>
      <c r="L833" s="10"/>
      <c r="M833" s="10"/>
      <c r="N833" s="10"/>
      <c r="O833" s="10"/>
      <c r="P833" s="10"/>
      <c r="Q833" s="10"/>
      <c r="R833" s="10"/>
      <c r="T833" s="10">
        <f t="shared" si="212"/>
        <v>0</v>
      </c>
    </row>
    <row r="834" spans="2:20" x14ac:dyDescent="0.25">
      <c r="B834" s="97">
        <f t="shared" si="213"/>
        <v>46</v>
      </c>
      <c r="C834" s="51"/>
      <c r="D834" s="51"/>
      <c r="E834" s="51">
        <v>1</v>
      </c>
      <c r="F834" s="51"/>
      <c r="G834" s="124"/>
      <c r="H834" s="51" t="s">
        <v>540</v>
      </c>
      <c r="I834" s="52">
        <f>I835</f>
        <v>0</v>
      </c>
      <c r="J834" s="52">
        <f t="shared" ref="J834:M834" si="223">J835</f>
        <v>0</v>
      </c>
      <c r="K834" s="52">
        <f t="shared" si="223"/>
        <v>485</v>
      </c>
      <c r="L834" s="52">
        <f t="shared" si="223"/>
        <v>0</v>
      </c>
      <c r="M834" s="52">
        <f t="shared" si="223"/>
        <v>0</v>
      </c>
      <c r="N834" s="52"/>
      <c r="O834" s="52"/>
      <c r="P834" s="52"/>
      <c r="Q834" s="52"/>
      <c r="R834" s="52"/>
      <c r="T834" s="52">
        <f t="shared" si="212"/>
        <v>0</v>
      </c>
    </row>
    <row r="835" spans="2:20" x14ac:dyDescent="0.25">
      <c r="B835" s="97">
        <f t="shared" si="213"/>
        <v>47</v>
      </c>
      <c r="C835" s="29"/>
      <c r="D835" s="29"/>
      <c r="E835" s="29"/>
      <c r="F835" s="53" t="s">
        <v>541</v>
      </c>
      <c r="G835" s="125">
        <v>640</v>
      </c>
      <c r="H835" s="29" t="s">
        <v>315</v>
      </c>
      <c r="I835" s="15">
        <v>0</v>
      </c>
      <c r="J835" s="15">
        <v>0</v>
      </c>
      <c r="K835" s="15">
        <v>485</v>
      </c>
      <c r="L835" s="15">
        <v>0</v>
      </c>
      <c r="M835" s="15">
        <v>0</v>
      </c>
      <c r="N835" s="15"/>
      <c r="O835" s="15"/>
      <c r="P835" s="15"/>
      <c r="Q835" s="15"/>
      <c r="R835" s="15"/>
      <c r="T835" s="15">
        <f t="shared" si="212"/>
        <v>0</v>
      </c>
    </row>
    <row r="836" spans="2:20" x14ac:dyDescent="0.25">
      <c r="B836" s="97">
        <f t="shared" si="213"/>
        <v>48</v>
      </c>
      <c r="C836" s="51"/>
      <c r="D836" s="51"/>
      <c r="E836" s="51" t="s">
        <v>102</v>
      </c>
      <c r="F836" s="51"/>
      <c r="G836" s="124"/>
      <c r="H836" s="51" t="s">
        <v>103</v>
      </c>
      <c r="I836" s="52">
        <f>I837+I838+I839+I845</f>
        <v>133838</v>
      </c>
      <c r="J836" s="52">
        <f t="shared" ref="J836:M836" si="224">J837+J838+J839+J845</f>
        <v>123045</v>
      </c>
      <c r="K836" s="52">
        <f t="shared" si="224"/>
        <v>124245</v>
      </c>
      <c r="L836" s="52">
        <f t="shared" si="224"/>
        <v>118636</v>
      </c>
      <c r="M836" s="52">
        <f t="shared" si="224"/>
        <v>101192</v>
      </c>
      <c r="N836" s="52">
        <f>N846</f>
        <v>0</v>
      </c>
      <c r="O836" s="52">
        <f t="shared" ref="O836:R836" si="225">O846</f>
        <v>0</v>
      </c>
      <c r="P836" s="52">
        <f t="shared" si="225"/>
        <v>20650</v>
      </c>
      <c r="Q836" s="52">
        <f t="shared" si="225"/>
        <v>0</v>
      </c>
      <c r="R836" s="52">
        <f t="shared" si="225"/>
        <v>0</v>
      </c>
      <c r="T836" s="52">
        <f t="shared" si="212"/>
        <v>133838</v>
      </c>
    </row>
    <row r="837" spans="2:20" x14ac:dyDescent="0.25">
      <c r="B837" s="97">
        <f t="shared" si="213"/>
        <v>49</v>
      </c>
      <c r="C837" s="29"/>
      <c r="D837" s="29"/>
      <c r="E837" s="29"/>
      <c r="F837" s="53" t="s">
        <v>511</v>
      </c>
      <c r="G837" s="125">
        <v>610</v>
      </c>
      <c r="H837" s="29" t="s">
        <v>338</v>
      </c>
      <c r="I837" s="15">
        <f>78700+900</f>
        <v>79600</v>
      </c>
      <c r="J837" s="15">
        <v>71840</v>
      </c>
      <c r="K837" s="15">
        <v>72740</v>
      </c>
      <c r="L837" s="15">
        <v>69102</v>
      </c>
      <c r="M837" s="15">
        <v>62018</v>
      </c>
      <c r="N837" s="15"/>
      <c r="O837" s="15"/>
      <c r="P837" s="15"/>
      <c r="Q837" s="15"/>
      <c r="R837" s="15"/>
      <c r="T837" s="15">
        <f t="shared" si="212"/>
        <v>79600</v>
      </c>
    </row>
    <row r="838" spans="2:20" x14ac:dyDescent="0.25">
      <c r="B838" s="97">
        <f t="shared" si="213"/>
        <v>50</v>
      </c>
      <c r="C838" s="29"/>
      <c r="D838" s="29"/>
      <c r="E838" s="29"/>
      <c r="F838" s="53" t="s">
        <v>511</v>
      </c>
      <c r="G838" s="125">
        <v>620</v>
      </c>
      <c r="H838" s="29" t="s">
        <v>313</v>
      </c>
      <c r="I838" s="15">
        <f>29042+315</f>
        <v>29357</v>
      </c>
      <c r="J838" s="15">
        <v>26670</v>
      </c>
      <c r="K838" s="15">
        <v>26970</v>
      </c>
      <c r="L838" s="15">
        <v>24939</v>
      </c>
      <c r="M838" s="15">
        <v>22926</v>
      </c>
      <c r="N838" s="15"/>
      <c r="O838" s="15"/>
      <c r="P838" s="15"/>
      <c r="Q838" s="15"/>
      <c r="R838" s="15"/>
      <c r="T838" s="15">
        <f t="shared" si="212"/>
        <v>29357</v>
      </c>
    </row>
    <row r="839" spans="2:20" x14ac:dyDescent="0.25">
      <c r="B839" s="97">
        <f t="shared" si="213"/>
        <v>51</v>
      </c>
      <c r="C839" s="29"/>
      <c r="D839" s="29"/>
      <c r="E839" s="29"/>
      <c r="F839" s="53" t="s">
        <v>511</v>
      </c>
      <c r="G839" s="125">
        <v>630</v>
      </c>
      <c r="H839" s="29" t="s">
        <v>303</v>
      </c>
      <c r="I839" s="15">
        <f>I840+I841+I842+I843+I844</f>
        <v>24881</v>
      </c>
      <c r="J839" s="15">
        <f t="shared" ref="J839:L839" si="226">J844+J843+J842+J841</f>
        <v>24535</v>
      </c>
      <c r="K839" s="15">
        <f t="shared" si="226"/>
        <v>24535</v>
      </c>
      <c r="L839" s="15">
        <f t="shared" si="226"/>
        <v>23994</v>
      </c>
      <c r="M839" s="15">
        <f>M844+M843+M842+M841+M840</f>
        <v>16057</v>
      </c>
      <c r="N839" s="15"/>
      <c r="O839" s="15"/>
      <c r="P839" s="15"/>
      <c r="Q839" s="15"/>
      <c r="R839" s="15"/>
      <c r="T839" s="15">
        <f t="shared" si="212"/>
        <v>24881</v>
      </c>
    </row>
    <row r="840" spans="2:20" x14ac:dyDescent="0.25">
      <c r="B840" s="97">
        <f t="shared" si="213"/>
        <v>52</v>
      </c>
      <c r="C840" s="29"/>
      <c r="D840" s="29"/>
      <c r="E840" s="29"/>
      <c r="F840" s="54" t="s">
        <v>511</v>
      </c>
      <c r="G840" s="126">
        <v>631</v>
      </c>
      <c r="H840" s="9" t="s">
        <v>304</v>
      </c>
      <c r="I840" s="15">
        <v>0</v>
      </c>
      <c r="J840" s="15"/>
      <c r="K840" s="15"/>
      <c r="L840" s="15"/>
      <c r="M840" s="16">
        <v>7</v>
      </c>
      <c r="N840" s="15"/>
      <c r="O840" s="15"/>
      <c r="P840" s="15"/>
      <c r="Q840" s="15"/>
      <c r="R840" s="15"/>
      <c r="T840" s="15">
        <f t="shared" si="212"/>
        <v>0</v>
      </c>
    </row>
    <row r="841" spans="2:20" x14ac:dyDescent="0.25">
      <c r="B841" s="97">
        <f t="shared" si="213"/>
        <v>53</v>
      </c>
      <c r="C841" s="9"/>
      <c r="D841" s="9"/>
      <c r="E841" s="9"/>
      <c r="F841" s="54" t="s">
        <v>511</v>
      </c>
      <c r="G841" s="126">
        <v>632</v>
      </c>
      <c r="H841" s="9" t="s">
        <v>314</v>
      </c>
      <c r="I841" s="10">
        <v>14780</v>
      </c>
      <c r="J841" s="10">
        <v>14200</v>
      </c>
      <c r="K841" s="10">
        <v>14200</v>
      </c>
      <c r="L841" s="10">
        <v>14259</v>
      </c>
      <c r="M841" s="10">
        <v>9580</v>
      </c>
      <c r="N841" s="10"/>
      <c r="O841" s="10"/>
      <c r="P841" s="10"/>
      <c r="Q841" s="10"/>
      <c r="R841" s="10"/>
      <c r="T841" s="10">
        <f t="shared" si="212"/>
        <v>14780</v>
      </c>
    </row>
    <row r="842" spans="2:20" x14ac:dyDescent="0.25">
      <c r="B842" s="97">
        <f t="shared" si="213"/>
        <v>54</v>
      </c>
      <c r="C842" s="9"/>
      <c r="D842" s="9"/>
      <c r="E842" s="9"/>
      <c r="F842" s="54" t="s">
        <v>511</v>
      </c>
      <c r="G842" s="126">
        <v>633</v>
      </c>
      <c r="H842" s="9" t="s">
        <v>305</v>
      </c>
      <c r="I842" s="10">
        <v>5946</v>
      </c>
      <c r="J842" s="10">
        <v>5855</v>
      </c>
      <c r="K842" s="10">
        <v>5855</v>
      </c>
      <c r="L842" s="10">
        <v>5614</v>
      </c>
      <c r="M842" s="10">
        <v>4285</v>
      </c>
      <c r="N842" s="10"/>
      <c r="O842" s="10"/>
      <c r="P842" s="10"/>
      <c r="Q842" s="10"/>
      <c r="R842" s="10"/>
      <c r="T842" s="10">
        <f t="shared" si="212"/>
        <v>5946</v>
      </c>
    </row>
    <row r="843" spans="2:20" x14ac:dyDescent="0.25">
      <c r="B843" s="97">
        <f t="shared" si="213"/>
        <v>55</v>
      </c>
      <c r="C843" s="9"/>
      <c r="D843" s="9"/>
      <c r="E843" s="9"/>
      <c r="F843" s="54" t="s">
        <v>511</v>
      </c>
      <c r="G843" s="126">
        <v>635</v>
      </c>
      <c r="H843" s="9" t="s">
        <v>320</v>
      </c>
      <c r="I843" s="10">
        <v>1600</v>
      </c>
      <c r="J843" s="10">
        <v>2000</v>
      </c>
      <c r="K843" s="10">
        <v>2000</v>
      </c>
      <c r="L843" s="10">
        <v>1480</v>
      </c>
      <c r="M843" s="10">
        <v>0</v>
      </c>
      <c r="N843" s="10"/>
      <c r="O843" s="10"/>
      <c r="P843" s="10"/>
      <c r="Q843" s="10"/>
      <c r="R843" s="10"/>
      <c r="T843" s="10">
        <f t="shared" si="212"/>
        <v>1600</v>
      </c>
    </row>
    <row r="844" spans="2:20" x14ac:dyDescent="0.25">
      <c r="B844" s="97">
        <f t="shared" si="213"/>
        <v>56</v>
      </c>
      <c r="C844" s="9"/>
      <c r="D844" s="9"/>
      <c r="E844" s="9"/>
      <c r="F844" s="54" t="s">
        <v>511</v>
      </c>
      <c r="G844" s="126">
        <v>637</v>
      </c>
      <c r="H844" s="9" t="s">
        <v>308</v>
      </c>
      <c r="I844" s="10">
        <v>2555</v>
      </c>
      <c r="J844" s="10">
        <v>2480</v>
      </c>
      <c r="K844" s="10">
        <v>2480</v>
      </c>
      <c r="L844" s="10">
        <v>2641</v>
      </c>
      <c r="M844" s="10">
        <v>2185</v>
      </c>
      <c r="N844" s="10"/>
      <c r="O844" s="10"/>
      <c r="P844" s="10"/>
      <c r="Q844" s="10"/>
      <c r="R844" s="10"/>
      <c r="T844" s="10">
        <f t="shared" si="212"/>
        <v>2555</v>
      </c>
    </row>
    <row r="845" spans="2:20" x14ac:dyDescent="0.25">
      <c r="B845" s="97">
        <f t="shared" si="213"/>
        <v>57</v>
      </c>
      <c r="C845" s="29"/>
      <c r="D845" s="29"/>
      <c r="E845" s="29"/>
      <c r="F845" s="53" t="s">
        <v>511</v>
      </c>
      <c r="G845" s="125">
        <v>640</v>
      </c>
      <c r="H845" s="29" t="s">
        <v>315</v>
      </c>
      <c r="I845" s="15">
        <v>0</v>
      </c>
      <c r="J845" s="15">
        <v>0</v>
      </c>
      <c r="K845" s="15">
        <v>0</v>
      </c>
      <c r="L845" s="15">
        <v>601</v>
      </c>
      <c r="M845" s="15">
        <v>191</v>
      </c>
      <c r="N845" s="15"/>
      <c r="O845" s="15"/>
      <c r="P845" s="15"/>
      <c r="Q845" s="15"/>
      <c r="R845" s="15"/>
      <c r="T845" s="15">
        <f t="shared" si="212"/>
        <v>0</v>
      </c>
    </row>
    <row r="846" spans="2:20" x14ac:dyDescent="0.25">
      <c r="B846" s="97">
        <f t="shared" si="213"/>
        <v>58</v>
      </c>
      <c r="C846" s="29"/>
      <c r="D846" s="29"/>
      <c r="E846" s="29"/>
      <c r="F846" s="53" t="s">
        <v>511</v>
      </c>
      <c r="G846" s="125">
        <v>710</v>
      </c>
      <c r="H846" s="29" t="s">
        <v>321</v>
      </c>
      <c r="I846" s="15"/>
      <c r="J846" s="15"/>
      <c r="K846" s="15"/>
      <c r="L846" s="15"/>
      <c r="M846" s="15"/>
      <c r="N846" s="15"/>
      <c r="O846" s="15"/>
      <c r="P846" s="15">
        <f t="shared" ref="P846" si="227">P847</f>
        <v>20650</v>
      </c>
      <c r="Q846" s="15"/>
      <c r="R846" s="15"/>
      <c r="T846" s="15">
        <f t="shared" si="212"/>
        <v>0</v>
      </c>
    </row>
    <row r="847" spans="2:20" x14ac:dyDescent="0.25">
      <c r="B847" s="97">
        <f t="shared" si="213"/>
        <v>59</v>
      </c>
      <c r="C847" s="29"/>
      <c r="D847" s="29"/>
      <c r="E847" s="29"/>
      <c r="F847" s="54" t="s">
        <v>511</v>
      </c>
      <c r="G847" s="126">
        <v>717</v>
      </c>
      <c r="H847" s="9" t="s">
        <v>327</v>
      </c>
      <c r="I847" s="15"/>
      <c r="J847" s="15"/>
      <c r="K847" s="15"/>
      <c r="L847" s="15"/>
      <c r="M847" s="15"/>
      <c r="N847" s="15"/>
      <c r="O847" s="15"/>
      <c r="P847" s="15">
        <f t="shared" ref="P847" si="228">P848+P849</f>
        <v>20650</v>
      </c>
      <c r="Q847" s="15"/>
      <c r="R847" s="15"/>
      <c r="T847" s="15">
        <f t="shared" si="212"/>
        <v>0</v>
      </c>
    </row>
    <row r="848" spans="2:20" x14ac:dyDescent="0.25">
      <c r="B848" s="97">
        <f t="shared" si="213"/>
        <v>60</v>
      </c>
      <c r="C848" s="12"/>
      <c r="D848" s="12"/>
      <c r="E848" s="12"/>
      <c r="F848" s="12"/>
      <c r="G848" s="127"/>
      <c r="H848" s="12" t="s">
        <v>536</v>
      </c>
      <c r="I848" s="13"/>
      <c r="J848" s="13"/>
      <c r="K848" s="13"/>
      <c r="L848" s="13"/>
      <c r="M848" s="13"/>
      <c r="N848" s="13"/>
      <c r="O848" s="13"/>
      <c r="P848" s="13">
        <v>4150</v>
      </c>
      <c r="Q848" s="13"/>
      <c r="R848" s="13"/>
      <c r="T848" s="13">
        <f t="shared" si="212"/>
        <v>0</v>
      </c>
    </row>
    <row r="849" spans="2:20" x14ac:dyDescent="0.25">
      <c r="B849" s="97">
        <f t="shared" si="213"/>
        <v>61</v>
      </c>
      <c r="C849" s="12"/>
      <c r="D849" s="12"/>
      <c r="E849" s="12"/>
      <c r="F849" s="12"/>
      <c r="G849" s="127"/>
      <c r="H849" s="12" t="s">
        <v>537</v>
      </c>
      <c r="I849" s="13"/>
      <c r="J849" s="13"/>
      <c r="K849" s="13"/>
      <c r="L849" s="13"/>
      <c r="M849" s="13"/>
      <c r="N849" s="13"/>
      <c r="O849" s="13"/>
      <c r="P849" s="13">
        <f>15500+1000</f>
        <v>16500</v>
      </c>
      <c r="Q849" s="13"/>
      <c r="R849" s="13"/>
      <c r="T849" s="13">
        <f t="shared" si="212"/>
        <v>0</v>
      </c>
    </row>
    <row r="850" spans="2:20" x14ac:dyDescent="0.25">
      <c r="B850" s="97">
        <f t="shared" si="213"/>
        <v>62</v>
      </c>
      <c r="C850" s="51"/>
      <c r="D850" s="51"/>
      <c r="E850" s="51" t="s">
        <v>104</v>
      </c>
      <c r="F850" s="51"/>
      <c r="G850" s="124"/>
      <c r="H850" s="51" t="s">
        <v>105</v>
      </c>
      <c r="I850" s="52">
        <f>I851+I852+I853+I859+I860</f>
        <v>216213</v>
      </c>
      <c r="J850" s="52">
        <f t="shared" ref="J850:M850" si="229">J860+J853+J852+J851</f>
        <v>207683</v>
      </c>
      <c r="K850" s="52">
        <f>K860+K853+K852+K851+K859</f>
        <v>210283</v>
      </c>
      <c r="L850" s="52">
        <f t="shared" si="229"/>
        <v>151023</v>
      </c>
      <c r="M850" s="52">
        <f t="shared" si="229"/>
        <v>139194</v>
      </c>
      <c r="N850" s="52">
        <f>N861</f>
        <v>0</v>
      </c>
      <c r="O850" s="52">
        <f t="shared" ref="O850:R850" si="230">O861</f>
        <v>162976</v>
      </c>
      <c r="P850" s="52">
        <f t="shared" si="230"/>
        <v>330326</v>
      </c>
      <c r="Q850" s="52">
        <f t="shared" si="230"/>
        <v>550</v>
      </c>
      <c r="R850" s="52">
        <f t="shared" si="230"/>
        <v>18574</v>
      </c>
      <c r="T850" s="52">
        <f t="shared" si="212"/>
        <v>216213</v>
      </c>
    </row>
    <row r="851" spans="2:20" x14ac:dyDescent="0.25">
      <c r="B851" s="97">
        <f t="shared" si="213"/>
        <v>63</v>
      </c>
      <c r="C851" s="29"/>
      <c r="D851" s="29"/>
      <c r="E851" s="29"/>
      <c r="F851" s="53" t="s">
        <v>511</v>
      </c>
      <c r="G851" s="125">
        <v>610</v>
      </c>
      <c r="H851" s="29" t="s">
        <v>338</v>
      </c>
      <c r="I851" s="15">
        <f>116669+1080</f>
        <v>117749</v>
      </c>
      <c r="J851" s="15">
        <f>89880+16032</f>
        <v>105912</v>
      </c>
      <c r="K851" s="15">
        <f>92480+16032</f>
        <v>108512</v>
      </c>
      <c r="L851" s="15">
        <v>86129</v>
      </c>
      <c r="M851" s="15">
        <v>77105</v>
      </c>
      <c r="N851" s="15"/>
      <c r="O851" s="15"/>
      <c r="P851" s="15"/>
      <c r="Q851" s="15"/>
      <c r="R851" s="15"/>
      <c r="T851" s="15">
        <f t="shared" si="212"/>
        <v>117749</v>
      </c>
    </row>
    <row r="852" spans="2:20" x14ac:dyDescent="0.25">
      <c r="B852" s="97">
        <f t="shared" si="213"/>
        <v>64</v>
      </c>
      <c r="C852" s="29"/>
      <c r="D852" s="29"/>
      <c r="E852" s="29"/>
      <c r="F852" s="53" t="s">
        <v>511</v>
      </c>
      <c r="G852" s="125">
        <v>620</v>
      </c>
      <c r="H852" s="29" t="s">
        <v>313</v>
      </c>
      <c r="I852" s="15">
        <f>43046+378</f>
        <v>43424</v>
      </c>
      <c r="J852" s="15">
        <f>34481+5611</f>
        <v>40092</v>
      </c>
      <c r="K852" s="15">
        <f>34481+5611</f>
        <v>40092</v>
      </c>
      <c r="L852" s="15">
        <v>30844</v>
      </c>
      <c r="M852" s="15">
        <v>28150</v>
      </c>
      <c r="N852" s="15"/>
      <c r="O852" s="15"/>
      <c r="P852" s="15"/>
      <c r="Q852" s="15"/>
      <c r="R852" s="15"/>
      <c r="T852" s="15">
        <f t="shared" si="212"/>
        <v>43424</v>
      </c>
    </row>
    <row r="853" spans="2:20" x14ac:dyDescent="0.25">
      <c r="B853" s="97">
        <f t="shared" si="213"/>
        <v>65</v>
      </c>
      <c r="C853" s="29"/>
      <c r="D853" s="29"/>
      <c r="E853" s="29"/>
      <c r="F853" s="53" t="s">
        <v>511</v>
      </c>
      <c r="G853" s="125">
        <v>630</v>
      </c>
      <c r="H853" s="29" t="s">
        <v>303</v>
      </c>
      <c r="I853" s="15">
        <f>I854+I855+I856+I857+I858</f>
        <v>51960</v>
      </c>
      <c r="J853" s="15">
        <f t="shared" ref="J853:L853" si="231">J858+J857+J856+J855</f>
        <v>58679</v>
      </c>
      <c r="K853" s="15">
        <f t="shared" si="231"/>
        <v>46679</v>
      </c>
      <c r="L853" s="15">
        <f t="shared" si="231"/>
        <v>33706</v>
      </c>
      <c r="M853" s="15">
        <f>M858+M857+M856+M855+M854</f>
        <v>33872</v>
      </c>
      <c r="N853" s="15"/>
      <c r="O853" s="15"/>
      <c r="P853" s="15"/>
      <c r="Q853" s="15"/>
      <c r="R853" s="15"/>
      <c r="T853" s="15">
        <f t="shared" si="212"/>
        <v>51960</v>
      </c>
    </row>
    <row r="854" spans="2:20" x14ac:dyDescent="0.25">
      <c r="B854" s="97">
        <f t="shared" ref="B854:B919" si="232">B853+1</f>
        <v>66</v>
      </c>
      <c r="C854" s="29"/>
      <c r="D854" s="29"/>
      <c r="E854" s="29"/>
      <c r="F854" s="54" t="s">
        <v>511</v>
      </c>
      <c r="G854" s="126">
        <v>631</v>
      </c>
      <c r="H854" s="9" t="s">
        <v>304</v>
      </c>
      <c r="I854" s="15">
        <v>0</v>
      </c>
      <c r="J854" s="15"/>
      <c r="K854" s="15"/>
      <c r="L854" s="15"/>
      <c r="M854" s="16">
        <v>38</v>
      </c>
      <c r="N854" s="15"/>
      <c r="O854" s="15"/>
      <c r="P854" s="15"/>
      <c r="Q854" s="15"/>
      <c r="R854" s="15"/>
      <c r="T854" s="15">
        <f t="shared" ref="T854:T919" si="233">I854+N854</f>
        <v>0</v>
      </c>
    </row>
    <row r="855" spans="2:20" x14ac:dyDescent="0.25">
      <c r="B855" s="97">
        <f t="shared" si="232"/>
        <v>67</v>
      </c>
      <c r="C855" s="9"/>
      <c r="D855" s="9"/>
      <c r="E855" s="9"/>
      <c r="F855" s="54" t="s">
        <v>511</v>
      </c>
      <c r="G855" s="126">
        <v>632</v>
      </c>
      <c r="H855" s="9" t="s">
        <v>314</v>
      </c>
      <c r="I855" s="10">
        <v>32380</v>
      </c>
      <c r="J855" s="10">
        <v>22410</v>
      </c>
      <c r="K855" s="10">
        <v>22410</v>
      </c>
      <c r="L855" s="10">
        <v>23074</v>
      </c>
      <c r="M855" s="10">
        <v>23827</v>
      </c>
      <c r="N855" s="10"/>
      <c r="O855" s="10"/>
      <c r="P855" s="10"/>
      <c r="Q855" s="10"/>
      <c r="R855" s="10"/>
      <c r="T855" s="10">
        <f t="shared" si="233"/>
        <v>32380</v>
      </c>
    </row>
    <row r="856" spans="2:20" x14ac:dyDescent="0.25">
      <c r="B856" s="97">
        <f t="shared" si="232"/>
        <v>68</v>
      </c>
      <c r="C856" s="9"/>
      <c r="D856" s="9"/>
      <c r="E856" s="9"/>
      <c r="F856" s="54" t="s">
        <v>511</v>
      </c>
      <c r="G856" s="126">
        <v>633</v>
      </c>
      <c r="H856" s="9" t="s">
        <v>305</v>
      </c>
      <c r="I856" s="10">
        <v>14275</v>
      </c>
      <c r="J856" s="10">
        <f>8712+22127</f>
        <v>30839</v>
      </c>
      <c r="K856" s="10">
        <f>8712+10127</f>
        <v>18839</v>
      </c>
      <c r="L856" s="10">
        <v>7037</v>
      </c>
      <c r="M856" s="10">
        <v>6493</v>
      </c>
      <c r="N856" s="10"/>
      <c r="O856" s="10"/>
      <c r="P856" s="10"/>
      <c r="Q856" s="10"/>
      <c r="R856" s="10"/>
      <c r="T856" s="10">
        <f t="shared" si="233"/>
        <v>14275</v>
      </c>
    </row>
    <row r="857" spans="2:20" x14ac:dyDescent="0.25">
      <c r="B857" s="97">
        <f t="shared" si="232"/>
        <v>69</v>
      </c>
      <c r="C857" s="9"/>
      <c r="D857" s="9"/>
      <c r="E857" s="9"/>
      <c r="F857" s="54" t="s">
        <v>511</v>
      </c>
      <c r="G857" s="126">
        <v>635</v>
      </c>
      <c r="H857" s="9" t="s">
        <v>320</v>
      </c>
      <c r="I857" s="10">
        <v>600</v>
      </c>
      <c r="J857" s="10">
        <v>2000</v>
      </c>
      <c r="K857" s="10">
        <v>2000</v>
      </c>
      <c r="L857" s="10">
        <v>400</v>
      </c>
      <c r="M857" s="10">
        <v>478</v>
      </c>
      <c r="N857" s="10"/>
      <c r="O857" s="10"/>
      <c r="P857" s="10"/>
      <c r="Q857" s="10"/>
      <c r="R857" s="10"/>
      <c r="T857" s="10">
        <f t="shared" si="233"/>
        <v>600</v>
      </c>
    </row>
    <row r="858" spans="2:20" x14ac:dyDescent="0.25">
      <c r="B858" s="97">
        <f t="shared" si="232"/>
        <v>70</v>
      </c>
      <c r="C858" s="9"/>
      <c r="D858" s="9"/>
      <c r="E858" s="9"/>
      <c r="F858" s="54" t="s">
        <v>511</v>
      </c>
      <c r="G858" s="126">
        <v>637</v>
      </c>
      <c r="H858" s="9" t="s">
        <v>308</v>
      </c>
      <c r="I858" s="10">
        <v>4705</v>
      </c>
      <c r="J858" s="10">
        <v>3430</v>
      </c>
      <c r="K858" s="10">
        <v>3430</v>
      </c>
      <c r="L858" s="10">
        <v>3195</v>
      </c>
      <c r="M858" s="10">
        <v>3036</v>
      </c>
      <c r="N858" s="10"/>
      <c r="O858" s="10"/>
      <c r="P858" s="10"/>
      <c r="Q858" s="10"/>
      <c r="R858" s="10"/>
      <c r="T858" s="10">
        <f t="shared" si="233"/>
        <v>4705</v>
      </c>
    </row>
    <row r="859" spans="2:20" x14ac:dyDescent="0.25">
      <c r="B859" s="97">
        <f t="shared" si="232"/>
        <v>71</v>
      </c>
      <c r="C859" s="9"/>
      <c r="D859" s="9"/>
      <c r="E859" s="9"/>
      <c r="F859" s="60" t="s">
        <v>511</v>
      </c>
      <c r="G859" s="129">
        <v>630</v>
      </c>
      <c r="H859" s="7" t="s">
        <v>539</v>
      </c>
      <c r="I859" s="10">
        <v>0</v>
      </c>
      <c r="J859" s="10"/>
      <c r="K859" s="8">
        <v>12000</v>
      </c>
      <c r="L859" s="10"/>
      <c r="M859" s="10"/>
      <c r="N859" s="10"/>
      <c r="O859" s="10"/>
      <c r="P859" s="10"/>
      <c r="Q859" s="10"/>
      <c r="R859" s="10"/>
      <c r="T859" s="10">
        <f t="shared" si="233"/>
        <v>0</v>
      </c>
    </row>
    <row r="860" spans="2:20" x14ac:dyDescent="0.25">
      <c r="B860" s="97">
        <f t="shared" si="232"/>
        <v>72</v>
      </c>
      <c r="C860" s="29"/>
      <c r="D860" s="29"/>
      <c r="E860" s="29"/>
      <c r="F860" s="53" t="s">
        <v>511</v>
      </c>
      <c r="G860" s="125">
        <v>640</v>
      </c>
      <c r="H860" s="29" t="s">
        <v>315</v>
      </c>
      <c r="I860" s="15">
        <v>3080</v>
      </c>
      <c r="J860" s="15">
        <v>3000</v>
      </c>
      <c r="K860" s="15">
        <v>3000</v>
      </c>
      <c r="L860" s="15">
        <v>344</v>
      </c>
      <c r="M860" s="15">
        <v>67</v>
      </c>
      <c r="N860" s="15"/>
      <c r="O860" s="15"/>
      <c r="P860" s="15"/>
      <c r="Q860" s="15"/>
      <c r="R860" s="15"/>
      <c r="T860" s="15">
        <f t="shared" si="233"/>
        <v>3080</v>
      </c>
    </row>
    <row r="861" spans="2:20" x14ac:dyDescent="0.25">
      <c r="B861" s="97">
        <f t="shared" si="232"/>
        <v>73</v>
      </c>
      <c r="C861" s="29"/>
      <c r="D861" s="29"/>
      <c r="E861" s="29"/>
      <c r="F861" s="53" t="s">
        <v>511</v>
      </c>
      <c r="G861" s="125">
        <v>710</v>
      </c>
      <c r="H861" s="29" t="s">
        <v>321</v>
      </c>
      <c r="I861" s="15"/>
      <c r="J861" s="15"/>
      <c r="K861" s="15"/>
      <c r="L861" s="15"/>
      <c r="M861" s="15"/>
      <c r="N861" s="15"/>
      <c r="O861" s="15">
        <f t="shared" ref="O861:R861" si="234">O862+O864</f>
        <v>162976</v>
      </c>
      <c r="P861" s="15">
        <f t="shared" si="234"/>
        <v>330326</v>
      </c>
      <c r="Q861" s="15">
        <f t="shared" si="234"/>
        <v>550</v>
      </c>
      <c r="R861" s="15">
        <f t="shared" si="234"/>
        <v>18574</v>
      </c>
      <c r="T861" s="15">
        <f t="shared" si="233"/>
        <v>0</v>
      </c>
    </row>
    <row r="862" spans="2:20" x14ac:dyDescent="0.25">
      <c r="B862" s="97">
        <f t="shared" si="232"/>
        <v>74</v>
      </c>
      <c r="C862" s="29"/>
      <c r="D862" s="29"/>
      <c r="E862" s="29"/>
      <c r="F862" s="54" t="s">
        <v>511</v>
      </c>
      <c r="G862" s="126">
        <v>716</v>
      </c>
      <c r="H862" s="9" t="s">
        <v>323</v>
      </c>
      <c r="I862" s="15"/>
      <c r="J862" s="15"/>
      <c r="K862" s="15"/>
      <c r="L862" s="15"/>
      <c r="M862" s="15"/>
      <c r="N862" s="15"/>
      <c r="O862" s="15"/>
      <c r="P862" s="15">
        <f t="shared" ref="P862:R862" si="235">P863</f>
        <v>10800</v>
      </c>
      <c r="Q862" s="15">
        <f t="shared" si="235"/>
        <v>550</v>
      </c>
      <c r="R862" s="15">
        <f t="shared" si="235"/>
        <v>1000</v>
      </c>
      <c r="T862" s="15">
        <f t="shared" si="233"/>
        <v>0</v>
      </c>
    </row>
    <row r="863" spans="2:20" x14ac:dyDescent="0.25">
      <c r="B863" s="97">
        <f t="shared" si="232"/>
        <v>75</v>
      </c>
      <c r="C863" s="12"/>
      <c r="D863" s="12"/>
      <c r="E863" s="12"/>
      <c r="F863" s="12"/>
      <c r="G863" s="127"/>
      <c r="H863" s="12" t="s">
        <v>516</v>
      </c>
      <c r="I863" s="13"/>
      <c r="J863" s="13"/>
      <c r="K863" s="13"/>
      <c r="L863" s="13"/>
      <c r="M863" s="13"/>
      <c r="N863" s="13"/>
      <c r="O863" s="13"/>
      <c r="P863" s="13">
        <v>10800</v>
      </c>
      <c r="Q863" s="13">
        <v>550</v>
      </c>
      <c r="R863" s="13">
        <v>1000</v>
      </c>
      <c r="T863" s="13">
        <f t="shared" si="233"/>
        <v>0</v>
      </c>
    </row>
    <row r="864" spans="2:20" x14ac:dyDescent="0.25">
      <c r="B864" s="97">
        <f t="shared" si="232"/>
        <v>76</v>
      </c>
      <c r="C864" s="29"/>
      <c r="D864" s="29"/>
      <c r="E864" s="29"/>
      <c r="F864" s="54" t="s">
        <v>511</v>
      </c>
      <c r="G864" s="126">
        <v>717</v>
      </c>
      <c r="H864" s="9" t="s">
        <v>327</v>
      </c>
      <c r="I864" s="15"/>
      <c r="J864" s="15"/>
      <c r="K864" s="15"/>
      <c r="L864" s="15"/>
      <c r="M864" s="15"/>
      <c r="N864" s="15"/>
      <c r="O864" s="15">
        <f t="shared" ref="O864:R864" si="236">O865+O866+O867</f>
        <v>162976</v>
      </c>
      <c r="P864" s="15">
        <f t="shared" si="236"/>
        <v>319526</v>
      </c>
      <c r="Q864" s="15"/>
      <c r="R864" s="15">
        <f t="shared" si="236"/>
        <v>17574</v>
      </c>
      <c r="T864" s="15">
        <f t="shared" si="233"/>
        <v>0</v>
      </c>
    </row>
    <row r="865" spans="2:20" x14ac:dyDescent="0.25">
      <c r="B865" s="97">
        <f t="shared" si="232"/>
        <v>77</v>
      </c>
      <c r="C865" s="12"/>
      <c r="D865" s="12"/>
      <c r="E865" s="12"/>
      <c r="F865" s="12"/>
      <c r="G865" s="127"/>
      <c r="H865" s="12" t="s">
        <v>105</v>
      </c>
      <c r="I865" s="13"/>
      <c r="J865" s="13"/>
      <c r="K865" s="13"/>
      <c r="L865" s="13"/>
      <c r="M865" s="13"/>
      <c r="N865" s="13"/>
      <c r="O865" s="13"/>
      <c r="P865" s="13"/>
      <c r="Q865" s="13"/>
      <c r="R865" s="13">
        <v>17574</v>
      </c>
      <c r="T865" s="13">
        <f t="shared" si="233"/>
        <v>0</v>
      </c>
    </row>
    <row r="866" spans="2:20" x14ac:dyDescent="0.25">
      <c r="B866" s="97">
        <f t="shared" si="232"/>
        <v>78</v>
      </c>
      <c r="C866" s="12"/>
      <c r="D866" s="12"/>
      <c r="E866" s="12"/>
      <c r="F866" s="12"/>
      <c r="G866" s="127"/>
      <c r="H866" s="12" t="s">
        <v>528</v>
      </c>
      <c r="I866" s="13"/>
      <c r="J866" s="13"/>
      <c r="K866" s="13"/>
      <c r="L866" s="13"/>
      <c r="M866" s="13"/>
      <c r="N866" s="13"/>
      <c r="O866" s="13">
        <v>162976</v>
      </c>
      <c r="P866" s="13">
        <f>145126-5600</f>
        <v>139526</v>
      </c>
      <c r="Q866" s="13"/>
      <c r="R866" s="13"/>
      <c r="T866" s="13">
        <f t="shared" si="233"/>
        <v>0</v>
      </c>
    </row>
    <row r="867" spans="2:20" x14ac:dyDescent="0.25">
      <c r="B867" s="97">
        <f t="shared" si="232"/>
        <v>79</v>
      </c>
      <c r="C867" s="12"/>
      <c r="D867" s="12"/>
      <c r="E867" s="12"/>
      <c r="F867" s="12"/>
      <c r="G867" s="127"/>
      <c r="H867" s="12" t="s">
        <v>535</v>
      </c>
      <c r="I867" s="13"/>
      <c r="J867" s="13"/>
      <c r="K867" s="13"/>
      <c r="L867" s="13"/>
      <c r="M867" s="13"/>
      <c r="N867" s="13"/>
      <c r="O867" s="13"/>
      <c r="P867" s="13">
        <v>180000</v>
      </c>
      <c r="Q867" s="13"/>
      <c r="R867" s="13"/>
      <c r="T867" s="13">
        <f t="shared" si="233"/>
        <v>0</v>
      </c>
    </row>
    <row r="868" spans="2:20" x14ac:dyDescent="0.25">
      <c r="B868" s="97">
        <f t="shared" si="232"/>
        <v>80</v>
      </c>
      <c r="C868" s="51"/>
      <c r="D868" s="51"/>
      <c r="E868" s="51" t="s">
        <v>106</v>
      </c>
      <c r="F868" s="51"/>
      <c r="G868" s="124"/>
      <c r="H868" s="51" t="s">
        <v>107</v>
      </c>
      <c r="I868" s="52">
        <f>I869+I870+I871+I877</f>
        <v>138166</v>
      </c>
      <c r="J868" s="52">
        <f t="shared" ref="J868:M868" si="237">J869+J870+J871+J877</f>
        <v>129580</v>
      </c>
      <c r="K868" s="52">
        <f t="shared" si="237"/>
        <v>133180</v>
      </c>
      <c r="L868" s="52">
        <f t="shared" si="237"/>
        <v>122419</v>
      </c>
      <c r="M868" s="52">
        <f t="shared" si="237"/>
        <v>108912</v>
      </c>
      <c r="N868" s="52">
        <f>N878</f>
        <v>12500</v>
      </c>
      <c r="O868" s="52">
        <f t="shared" ref="O868:R868" si="238">O878</f>
        <v>0</v>
      </c>
      <c r="P868" s="52">
        <f t="shared" si="238"/>
        <v>0</v>
      </c>
      <c r="Q868" s="52">
        <f t="shared" si="238"/>
        <v>0</v>
      </c>
      <c r="R868" s="52">
        <f t="shared" si="238"/>
        <v>1988</v>
      </c>
      <c r="T868" s="52">
        <f t="shared" si="233"/>
        <v>150666</v>
      </c>
    </row>
    <row r="869" spans="2:20" x14ac:dyDescent="0.25">
      <c r="B869" s="97">
        <f t="shared" si="232"/>
        <v>81</v>
      </c>
      <c r="C869" s="29"/>
      <c r="D869" s="29"/>
      <c r="E869" s="29"/>
      <c r="F869" s="53" t="s">
        <v>511</v>
      </c>
      <c r="G869" s="125">
        <v>610</v>
      </c>
      <c r="H869" s="29" t="s">
        <v>338</v>
      </c>
      <c r="I869" s="15">
        <f>79669+540</f>
        <v>80209</v>
      </c>
      <c r="J869" s="15">
        <v>74290</v>
      </c>
      <c r="K869" s="15">
        <v>74290</v>
      </c>
      <c r="L869" s="15">
        <v>68526</v>
      </c>
      <c r="M869" s="15">
        <v>60865</v>
      </c>
      <c r="N869" s="15"/>
      <c r="O869" s="15"/>
      <c r="P869" s="15"/>
      <c r="Q869" s="15"/>
      <c r="R869" s="15"/>
      <c r="T869" s="15">
        <f t="shared" si="233"/>
        <v>80209</v>
      </c>
    </row>
    <row r="870" spans="2:20" x14ac:dyDescent="0.25">
      <c r="B870" s="97">
        <f t="shared" si="232"/>
        <v>82</v>
      </c>
      <c r="C870" s="29"/>
      <c r="D870" s="29"/>
      <c r="E870" s="29"/>
      <c r="F870" s="53" t="s">
        <v>511</v>
      </c>
      <c r="G870" s="125">
        <v>620</v>
      </c>
      <c r="H870" s="29" t="s">
        <v>313</v>
      </c>
      <c r="I870" s="15">
        <f>29552+189</f>
        <v>29741</v>
      </c>
      <c r="J870" s="15">
        <v>27587</v>
      </c>
      <c r="K870" s="15">
        <v>27587</v>
      </c>
      <c r="L870" s="15">
        <v>25325</v>
      </c>
      <c r="M870" s="15">
        <v>22802</v>
      </c>
      <c r="N870" s="15"/>
      <c r="O870" s="15"/>
      <c r="P870" s="15"/>
      <c r="Q870" s="15"/>
      <c r="R870" s="15"/>
      <c r="T870" s="15">
        <f t="shared" si="233"/>
        <v>29741</v>
      </c>
    </row>
    <row r="871" spans="2:20" x14ac:dyDescent="0.25">
      <c r="B871" s="97">
        <f t="shared" si="232"/>
        <v>83</v>
      </c>
      <c r="C871" s="29"/>
      <c r="D871" s="29"/>
      <c r="E871" s="29"/>
      <c r="F871" s="53" t="s">
        <v>511</v>
      </c>
      <c r="G871" s="125">
        <v>630</v>
      </c>
      <c r="H871" s="29" t="s">
        <v>303</v>
      </c>
      <c r="I871" s="15">
        <f>I872+I873+I874+I875+I876</f>
        <v>28216</v>
      </c>
      <c r="J871" s="15">
        <f t="shared" ref="J871:L871" si="239">J876+J875+J874+J873</f>
        <v>27703</v>
      </c>
      <c r="K871" s="15">
        <f t="shared" si="239"/>
        <v>31303</v>
      </c>
      <c r="L871" s="15">
        <f t="shared" si="239"/>
        <v>28320</v>
      </c>
      <c r="M871" s="15">
        <f>M876+M875+M874+M873+M872</f>
        <v>24262</v>
      </c>
      <c r="N871" s="15"/>
      <c r="O871" s="15"/>
      <c r="P871" s="15"/>
      <c r="Q871" s="15"/>
      <c r="R871" s="15"/>
      <c r="T871" s="15">
        <f t="shared" si="233"/>
        <v>28216</v>
      </c>
    </row>
    <row r="872" spans="2:20" x14ac:dyDescent="0.25">
      <c r="B872" s="97">
        <f t="shared" si="232"/>
        <v>84</v>
      </c>
      <c r="C872" s="29"/>
      <c r="D872" s="29"/>
      <c r="E872" s="29"/>
      <c r="F872" s="54" t="s">
        <v>511</v>
      </c>
      <c r="G872" s="126">
        <v>631</v>
      </c>
      <c r="H872" s="9" t="s">
        <v>304</v>
      </c>
      <c r="I872" s="15">
        <v>0</v>
      </c>
      <c r="J872" s="15"/>
      <c r="K872" s="15"/>
      <c r="L872" s="15"/>
      <c r="M872" s="16">
        <v>7</v>
      </c>
      <c r="N872" s="15"/>
      <c r="O872" s="15"/>
      <c r="P872" s="15"/>
      <c r="Q872" s="15"/>
      <c r="R872" s="15"/>
      <c r="T872" s="15">
        <f t="shared" si="233"/>
        <v>0</v>
      </c>
    </row>
    <row r="873" spans="2:20" x14ac:dyDescent="0.25">
      <c r="B873" s="97">
        <f t="shared" si="232"/>
        <v>85</v>
      </c>
      <c r="C873" s="9"/>
      <c r="D873" s="9"/>
      <c r="E873" s="9"/>
      <c r="F873" s="54" t="s">
        <v>511</v>
      </c>
      <c r="G873" s="126">
        <v>632</v>
      </c>
      <c r="H873" s="9" t="s">
        <v>314</v>
      </c>
      <c r="I873" s="10">
        <v>18300</v>
      </c>
      <c r="J873" s="10">
        <v>18530</v>
      </c>
      <c r="K873" s="10">
        <v>18530</v>
      </c>
      <c r="L873" s="10">
        <v>17853</v>
      </c>
      <c r="M873" s="10">
        <v>17704</v>
      </c>
      <c r="N873" s="10"/>
      <c r="O873" s="10"/>
      <c r="P873" s="10"/>
      <c r="Q873" s="10"/>
      <c r="R873" s="10"/>
      <c r="T873" s="10">
        <f t="shared" si="233"/>
        <v>18300</v>
      </c>
    </row>
    <row r="874" spans="2:20" x14ac:dyDescent="0.25">
      <c r="B874" s="97">
        <f t="shared" si="232"/>
        <v>86</v>
      </c>
      <c r="C874" s="9"/>
      <c r="D874" s="9"/>
      <c r="E874" s="9"/>
      <c r="F874" s="54" t="s">
        <v>511</v>
      </c>
      <c r="G874" s="126">
        <v>633</v>
      </c>
      <c r="H874" s="9" t="s">
        <v>305</v>
      </c>
      <c r="I874" s="10">
        <v>6446</v>
      </c>
      <c r="J874" s="10">
        <v>6693</v>
      </c>
      <c r="K874" s="10">
        <f>6693+3600</f>
        <v>10293</v>
      </c>
      <c r="L874" s="10">
        <v>7821</v>
      </c>
      <c r="M874" s="10">
        <v>4619</v>
      </c>
      <c r="N874" s="10"/>
      <c r="O874" s="10"/>
      <c r="P874" s="10"/>
      <c r="Q874" s="10"/>
      <c r="R874" s="10"/>
      <c r="T874" s="10">
        <f t="shared" si="233"/>
        <v>6446</v>
      </c>
    </row>
    <row r="875" spans="2:20" x14ac:dyDescent="0.25">
      <c r="B875" s="97">
        <f t="shared" si="232"/>
        <v>87</v>
      </c>
      <c r="C875" s="9"/>
      <c r="D875" s="9"/>
      <c r="E875" s="9"/>
      <c r="F875" s="54" t="s">
        <v>511</v>
      </c>
      <c r="G875" s="126">
        <v>635</v>
      </c>
      <c r="H875" s="9" t="s">
        <v>320</v>
      </c>
      <c r="I875" s="10">
        <v>960</v>
      </c>
      <c r="J875" s="10">
        <v>150</v>
      </c>
      <c r="K875" s="10">
        <v>150</v>
      </c>
      <c r="L875" s="10">
        <v>140</v>
      </c>
      <c r="M875" s="10">
        <v>0</v>
      </c>
      <c r="N875" s="10"/>
      <c r="O875" s="10"/>
      <c r="P875" s="10"/>
      <c r="Q875" s="10"/>
      <c r="R875" s="10"/>
      <c r="T875" s="10">
        <f t="shared" si="233"/>
        <v>960</v>
      </c>
    </row>
    <row r="876" spans="2:20" x14ac:dyDescent="0.25">
      <c r="B876" s="97">
        <f t="shared" si="232"/>
        <v>88</v>
      </c>
      <c r="C876" s="9"/>
      <c r="D876" s="9"/>
      <c r="E876" s="9"/>
      <c r="F876" s="54" t="s">
        <v>511</v>
      </c>
      <c r="G876" s="126">
        <v>637</v>
      </c>
      <c r="H876" s="9" t="s">
        <v>308</v>
      </c>
      <c r="I876" s="10">
        <v>2510</v>
      </c>
      <c r="J876" s="10">
        <v>2330</v>
      </c>
      <c r="K876" s="10">
        <v>2330</v>
      </c>
      <c r="L876" s="10">
        <v>2506</v>
      </c>
      <c r="M876" s="10">
        <v>1932</v>
      </c>
      <c r="N876" s="10"/>
      <c r="O876" s="10"/>
      <c r="P876" s="10"/>
      <c r="Q876" s="10"/>
      <c r="R876" s="10"/>
      <c r="T876" s="10">
        <f t="shared" si="233"/>
        <v>2510</v>
      </c>
    </row>
    <row r="877" spans="2:20" x14ac:dyDescent="0.25">
      <c r="B877" s="97">
        <f t="shared" si="232"/>
        <v>89</v>
      </c>
      <c r="C877" s="29"/>
      <c r="D877" s="29"/>
      <c r="E877" s="29"/>
      <c r="F877" s="53" t="s">
        <v>511</v>
      </c>
      <c r="G877" s="125">
        <v>640</v>
      </c>
      <c r="H877" s="29" t="s">
        <v>315</v>
      </c>
      <c r="I877" s="15">
        <v>0</v>
      </c>
      <c r="J877" s="15">
        <v>0</v>
      </c>
      <c r="K877" s="15">
        <v>0</v>
      </c>
      <c r="L877" s="15">
        <v>248</v>
      </c>
      <c r="M877" s="15">
        <v>983</v>
      </c>
      <c r="N877" s="15"/>
      <c r="O877" s="15"/>
      <c r="P877" s="15"/>
      <c r="Q877" s="15"/>
      <c r="R877" s="15"/>
      <c r="T877" s="15">
        <f t="shared" si="233"/>
        <v>0</v>
      </c>
    </row>
    <row r="878" spans="2:20" x14ac:dyDescent="0.25">
      <c r="B878" s="97">
        <f t="shared" si="232"/>
        <v>90</v>
      </c>
      <c r="C878" s="29"/>
      <c r="D878" s="29"/>
      <c r="E878" s="29"/>
      <c r="F878" s="53" t="s">
        <v>511</v>
      </c>
      <c r="G878" s="125">
        <v>710</v>
      </c>
      <c r="H878" s="29" t="s">
        <v>321</v>
      </c>
      <c r="I878" s="15"/>
      <c r="J878" s="15"/>
      <c r="K878" s="15"/>
      <c r="L878" s="15"/>
      <c r="M878" s="15"/>
      <c r="N878" s="15">
        <f>N879</f>
        <v>12500</v>
      </c>
      <c r="O878" s="15"/>
      <c r="P878" s="15"/>
      <c r="Q878" s="15"/>
      <c r="R878" s="15">
        <f t="shared" ref="R878" si="240">R879</f>
        <v>1988</v>
      </c>
      <c r="T878" s="15">
        <f t="shared" si="233"/>
        <v>12500</v>
      </c>
    </row>
    <row r="879" spans="2:20" x14ac:dyDescent="0.25">
      <c r="B879" s="97">
        <f t="shared" si="232"/>
        <v>91</v>
      </c>
      <c r="C879" s="9"/>
      <c r="D879" s="9"/>
      <c r="E879" s="9"/>
      <c r="F879" s="54" t="s">
        <v>511</v>
      </c>
      <c r="G879" s="126">
        <v>717</v>
      </c>
      <c r="H879" s="9" t="s">
        <v>327</v>
      </c>
      <c r="I879" s="10"/>
      <c r="J879" s="10"/>
      <c r="K879" s="10"/>
      <c r="L879" s="10"/>
      <c r="M879" s="10"/>
      <c r="N879" s="10">
        <f>N880+N881</f>
        <v>12500</v>
      </c>
      <c r="O879" s="10"/>
      <c r="P879" s="10"/>
      <c r="Q879" s="10"/>
      <c r="R879" s="10">
        <f t="shared" ref="R879" si="241">R880+R881</f>
        <v>1988</v>
      </c>
      <c r="T879" s="10">
        <f t="shared" si="233"/>
        <v>12500</v>
      </c>
    </row>
    <row r="880" spans="2:20" x14ac:dyDescent="0.25">
      <c r="B880" s="97">
        <f t="shared" si="232"/>
        <v>92</v>
      </c>
      <c r="C880" s="12"/>
      <c r="D880" s="12"/>
      <c r="E880" s="12"/>
      <c r="F880" s="12"/>
      <c r="G880" s="127"/>
      <c r="H880" s="12" t="s">
        <v>892</v>
      </c>
      <c r="I880" s="13"/>
      <c r="J880" s="13"/>
      <c r="K880" s="13"/>
      <c r="L880" s="13"/>
      <c r="M880" s="13"/>
      <c r="N880" s="13">
        <v>12500</v>
      </c>
      <c r="O880" s="13"/>
      <c r="P880" s="13"/>
      <c r="Q880" s="13"/>
      <c r="R880" s="13"/>
      <c r="T880" s="13">
        <f t="shared" si="233"/>
        <v>12500</v>
      </c>
    </row>
    <row r="881" spans="2:20" x14ac:dyDescent="0.25">
      <c r="B881" s="97">
        <f t="shared" si="232"/>
        <v>93</v>
      </c>
      <c r="C881" s="12"/>
      <c r="D881" s="12"/>
      <c r="E881" s="12"/>
      <c r="F881" s="12"/>
      <c r="G881" s="127"/>
      <c r="H881" s="12" t="s">
        <v>538</v>
      </c>
      <c r="I881" s="13"/>
      <c r="J881" s="13"/>
      <c r="K881" s="13"/>
      <c r="L881" s="13"/>
      <c r="M881" s="13"/>
      <c r="N881" s="13"/>
      <c r="O881" s="13"/>
      <c r="P881" s="13"/>
      <c r="Q881" s="13"/>
      <c r="R881" s="13">
        <v>1988</v>
      </c>
      <c r="T881" s="13">
        <f t="shared" si="233"/>
        <v>0</v>
      </c>
    </row>
    <row r="882" spans="2:20" x14ac:dyDescent="0.25">
      <c r="B882" s="97">
        <f t="shared" si="232"/>
        <v>94</v>
      </c>
      <c r="C882" s="51"/>
      <c r="D882" s="51"/>
      <c r="E882" s="51" t="s">
        <v>108</v>
      </c>
      <c r="F882" s="51"/>
      <c r="G882" s="124"/>
      <c r="H882" s="51" t="s">
        <v>109</v>
      </c>
      <c r="I882" s="52">
        <f>I883+I884+I885+I891</f>
        <v>178254</v>
      </c>
      <c r="J882" s="52">
        <f t="shared" ref="J882:M882" si="242">J883+J884+J885+J891</f>
        <v>174749</v>
      </c>
      <c r="K882" s="52">
        <f t="shared" si="242"/>
        <v>174749</v>
      </c>
      <c r="L882" s="52">
        <f t="shared" si="242"/>
        <v>156455</v>
      </c>
      <c r="M882" s="52">
        <f t="shared" si="242"/>
        <v>151613</v>
      </c>
      <c r="N882" s="52">
        <f>N892</f>
        <v>9000</v>
      </c>
      <c r="O882" s="52">
        <f t="shared" ref="O882:R882" si="243">O892</f>
        <v>0</v>
      </c>
      <c r="P882" s="52">
        <f t="shared" si="243"/>
        <v>0</v>
      </c>
      <c r="Q882" s="52">
        <f t="shared" si="243"/>
        <v>0</v>
      </c>
      <c r="R882" s="52">
        <f t="shared" si="243"/>
        <v>1140</v>
      </c>
      <c r="T882" s="52">
        <f t="shared" si="233"/>
        <v>187254</v>
      </c>
    </row>
    <row r="883" spans="2:20" x14ac:dyDescent="0.25">
      <c r="B883" s="97">
        <f t="shared" si="232"/>
        <v>95</v>
      </c>
      <c r="C883" s="29"/>
      <c r="D883" s="29"/>
      <c r="E883" s="29"/>
      <c r="F883" s="53" t="s">
        <v>511</v>
      </c>
      <c r="G883" s="125">
        <v>610</v>
      </c>
      <c r="H883" s="29" t="s">
        <v>338</v>
      </c>
      <c r="I883" s="15">
        <f>96610+720</f>
        <v>97330</v>
      </c>
      <c r="J883" s="15">
        <v>89455</v>
      </c>
      <c r="K883" s="15">
        <v>89455</v>
      </c>
      <c r="L883" s="15">
        <v>82639</v>
      </c>
      <c r="M883" s="15">
        <v>77688</v>
      </c>
      <c r="N883" s="15"/>
      <c r="O883" s="15"/>
      <c r="P883" s="15"/>
      <c r="Q883" s="15"/>
      <c r="R883" s="15"/>
      <c r="T883" s="15">
        <f t="shared" si="233"/>
        <v>97330</v>
      </c>
    </row>
    <row r="884" spans="2:20" x14ac:dyDescent="0.25">
      <c r="B884" s="97">
        <f t="shared" si="232"/>
        <v>96</v>
      </c>
      <c r="C884" s="29"/>
      <c r="D884" s="29"/>
      <c r="E884" s="29"/>
      <c r="F884" s="53" t="s">
        <v>511</v>
      </c>
      <c r="G884" s="125">
        <v>620</v>
      </c>
      <c r="H884" s="29" t="s">
        <v>313</v>
      </c>
      <c r="I884" s="15">
        <f>35835+252</f>
        <v>36087</v>
      </c>
      <c r="J884" s="15">
        <v>33221</v>
      </c>
      <c r="K884" s="15">
        <v>33221</v>
      </c>
      <c r="L884" s="15">
        <v>30052</v>
      </c>
      <c r="M884" s="15">
        <v>28685</v>
      </c>
      <c r="N884" s="15"/>
      <c r="O884" s="15"/>
      <c r="P884" s="15"/>
      <c r="Q884" s="15"/>
      <c r="R884" s="15"/>
      <c r="T884" s="15">
        <f t="shared" si="233"/>
        <v>36087</v>
      </c>
    </row>
    <row r="885" spans="2:20" x14ac:dyDescent="0.25">
      <c r="B885" s="97">
        <f t="shared" si="232"/>
        <v>97</v>
      </c>
      <c r="C885" s="29"/>
      <c r="D885" s="29"/>
      <c r="E885" s="29"/>
      <c r="F885" s="53" t="s">
        <v>511</v>
      </c>
      <c r="G885" s="125">
        <v>630</v>
      </c>
      <c r="H885" s="29" t="s">
        <v>303</v>
      </c>
      <c r="I885" s="15">
        <f>I886+I887+I888+I889+I890</f>
        <v>44837</v>
      </c>
      <c r="J885" s="15">
        <f t="shared" ref="J885:L885" si="244">J890+J889+J888+J887</f>
        <v>50613</v>
      </c>
      <c r="K885" s="15">
        <f t="shared" si="244"/>
        <v>50613</v>
      </c>
      <c r="L885" s="15">
        <f t="shared" si="244"/>
        <v>42466</v>
      </c>
      <c r="M885" s="15">
        <f>M890+M889+M888+M887+M886</f>
        <v>44073</v>
      </c>
      <c r="N885" s="15"/>
      <c r="O885" s="15"/>
      <c r="P885" s="15"/>
      <c r="Q885" s="15"/>
      <c r="R885" s="15"/>
      <c r="T885" s="15">
        <f t="shared" si="233"/>
        <v>44837</v>
      </c>
    </row>
    <row r="886" spans="2:20" x14ac:dyDescent="0.25">
      <c r="B886" s="97">
        <f t="shared" si="232"/>
        <v>98</v>
      </c>
      <c r="C886" s="29"/>
      <c r="D886" s="29"/>
      <c r="E886" s="29"/>
      <c r="F886" s="54" t="s">
        <v>511</v>
      </c>
      <c r="G886" s="126">
        <v>631</v>
      </c>
      <c r="H886" s="9" t="s">
        <v>304</v>
      </c>
      <c r="I886" s="15">
        <v>0</v>
      </c>
      <c r="J886" s="15"/>
      <c r="K886" s="15"/>
      <c r="L886" s="15"/>
      <c r="M886" s="16">
        <v>16</v>
      </c>
      <c r="N886" s="15"/>
      <c r="O886" s="15"/>
      <c r="P886" s="15"/>
      <c r="Q886" s="15"/>
      <c r="R886" s="15"/>
      <c r="T886" s="15">
        <f t="shared" si="233"/>
        <v>0</v>
      </c>
    </row>
    <row r="887" spans="2:20" x14ac:dyDescent="0.25">
      <c r="B887" s="97">
        <f t="shared" si="232"/>
        <v>99</v>
      </c>
      <c r="C887" s="9"/>
      <c r="D887" s="9"/>
      <c r="E887" s="9"/>
      <c r="F887" s="54" t="s">
        <v>511</v>
      </c>
      <c r="G887" s="126">
        <v>632</v>
      </c>
      <c r="H887" s="9" t="s">
        <v>314</v>
      </c>
      <c r="I887" s="10">
        <v>31700</v>
      </c>
      <c r="J887" s="10">
        <v>37410</v>
      </c>
      <c r="K887" s="10">
        <v>37410</v>
      </c>
      <c r="L887" s="10">
        <v>31905</v>
      </c>
      <c r="M887" s="10">
        <v>35646</v>
      </c>
      <c r="N887" s="10"/>
      <c r="O887" s="10"/>
      <c r="P887" s="10"/>
      <c r="Q887" s="10"/>
      <c r="R887" s="10"/>
      <c r="T887" s="10">
        <f t="shared" si="233"/>
        <v>31700</v>
      </c>
    </row>
    <row r="888" spans="2:20" x14ac:dyDescent="0.25">
      <c r="B888" s="97">
        <f t="shared" si="232"/>
        <v>100</v>
      </c>
      <c r="C888" s="9"/>
      <c r="D888" s="9"/>
      <c r="E888" s="9"/>
      <c r="F888" s="54" t="s">
        <v>511</v>
      </c>
      <c r="G888" s="126">
        <v>633</v>
      </c>
      <c r="H888" s="9" t="s">
        <v>305</v>
      </c>
      <c r="I888" s="10">
        <v>7727</v>
      </c>
      <c r="J888" s="10">
        <v>7463</v>
      </c>
      <c r="K888" s="10">
        <v>7463</v>
      </c>
      <c r="L888" s="10">
        <v>6881</v>
      </c>
      <c r="M888" s="10">
        <v>5212</v>
      </c>
      <c r="N888" s="10"/>
      <c r="O888" s="10"/>
      <c r="P888" s="10"/>
      <c r="Q888" s="10"/>
      <c r="R888" s="10"/>
      <c r="T888" s="10">
        <f t="shared" si="233"/>
        <v>7727</v>
      </c>
    </row>
    <row r="889" spans="2:20" x14ac:dyDescent="0.25">
      <c r="B889" s="97">
        <f t="shared" si="232"/>
        <v>101</v>
      </c>
      <c r="C889" s="9"/>
      <c r="D889" s="9"/>
      <c r="E889" s="9"/>
      <c r="F889" s="54" t="s">
        <v>511</v>
      </c>
      <c r="G889" s="126">
        <v>635</v>
      </c>
      <c r="H889" s="9" t="s">
        <v>320</v>
      </c>
      <c r="I889" s="10">
        <v>2450</v>
      </c>
      <c r="J889" s="10">
        <v>2450</v>
      </c>
      <c r="K889" s="10">
        <v>2450</v>
      </c>
      <c r="L889" s="10">
        <v>1100</v>
      </c>
      <c r="M889" s="10">
        <v>69</v>
      </c>
      <c r="N889" s="10"/>
      <c r="O889" s="10"/>
      <c r="P889" s="10"/>
      <c r="Q889" s="10"/>
      <c r="R889" s="10"/>
      <c r="T889" s="10">
        <f t="shared" si="233"/>
        <v>2450</v>
      </c>
    </row>
    <row r="890" spans="2:20" x14ac:dyDescent="0.25">
      <c r="B890" s="97">
        <f t="shared" si="232"/>
        <v>102</v>
      </c>
      <c r="C890" s="9"/>
      <c r="D890" s="9"/>
      <c r="E890" s="9"/>
      <c r="F890" s="54" t="s">
        <v>511</v>
      </c>
      <c r="G890" s="126">
        <v>637</v>
      </c>
      <c r="H890" s="9" t="s">
        <v>308</v>
      </c>
      <c r="I890" s="10">
        <v>2960</v>
      </c>
      <c r="J890" s="10">
        <v>3290</v>
      </c>
      <c r="K890" s="10">
        <v>3290</v>
      </c>
      <c r="L890" s="10">
        <v>2580</v>
      </c>
      <c r="M890" s="10">
        <v>3130</v>
      </c>
      <c r="N890" s="10"/>
      <c r="O890" s="10"/>
      <c r="P890" s="10"/>
      <c r="Q890" s="10"/>
      <c r="R890" s="10"/>
      <c r="T890" s="10">
        <f t="shared" si="233"/>
        <v>2960</v>
      </c>
    </row>
    <row r="891" spans="2:20" x14ac:dyDescent="0.25">
      <c r="B891" s="97">
        <f t="shared" si="232"/>
        <v>103</v>
      </c>
      <c r="C891" s="29"/>
      <c r="D891" s="29"/>
      <c r="E891" s="29"/>
      <c r="F891" s="53" t="s">
        <v>511</v>
      </c>
      <c r="G891" s="125">
        <v>640</v>
      </c>
      <c r="H891" s="29" t="s">
        <v>315</v>
      </c>
      <c r="I891" s="15">
        <v>0</v>
      </c>
      <c r="J891" s="15">
        <v>1460</v>
      </c>
      <c r="K891" s="15">
        <v>1460</v>
      </c>
      <c r="L891" s="15">
        <v>1298</v>
      </c>
      <c r="M891" s="15">
        <v>1167</v>
      </c>
      <c r="N891" s="15"/>
      <c r="O891" s="15"/>
      <c r="P891" s="15"/>
      <c r="Q891" s="15"/>
      <c r="R891" s="15"/>
      <c r="T891" s="15">
        <f t="shared" si="233"/>
        <v>0</v>
      </c>
    </row>
    <row r="892" spans="2:20" x14ac:dyDescent="0.25">
      <c r="B892" s="97">
        <f t="shared" si="232"/>
        <v>104</v>
      </c>
      <c r="C892" s="29"/>
      <c r="D892" s="29"/>
      <c r="E892" s="29"/>
      <c r="F892" s="53" t="s">
        <v>511</v>
      </c>
      <c r="G892" s="125">
        <v>710</v>
      </c>
      <c r="H892" s="29" t="s">
        <v>321</v>
      </c>
      <c r="I892" s="15"/>
      <c r="J892" s="15"/>
      <c r="K892" s="15"/>
      <c r="L892" s="15"/>
      <c r="M892" s="15"/>
      <c r="N892" s="15">
        <f>N895</f>
        <v>9000</v>
      </c>
      <c r="O892" s="15"/>
      <c r="P892" s="15"/>
      <c r="Q892" s="15"/>
      <c r="R892" s="15">
        <f t="shared" ref="R892:R893" si="245">R893</f>
        <v>1140</v>
      </c>
      <c r="T892" s="15">
        <f t="shared" si="233"/>
        <v>9000</v>
      </c>
    </row>
    <row r="893" spans="2:20" x14ac:dyDescent="0.25">
      <c r="B893" s="97">
        <f t="shared" si="232"/>
        <v>105</v>
      </c>
      <c r="C893" s="29"/>
      <c r="D893" s="29"/>
      <c r="E893" s="29"/>
      <c r="F893" s="54" t="s">
        <v>511</v>
      </c>
      <c r="G893" s="126">
        <v>716</v>
      </c>
      <c r="H893" s="9" t="s">
        <v>323</v>
      </c>
      <c r="I893" s="15"/>
      <c r="J893" s="15"/>
      <c r="K893" s="15"/>
      <c r="L893" s="15"/>
      <c r="M893" s="15"/>
      <c r="N893" s="15"/>
      <c r="O893" s="15"/>
      <c r="P893" s="15"/>
      <c r="Q893" s="15"/>
      <c r="R893" s="15">
        <f t="shared" si="245"/>
        <v>1140</v>
      </c>
      <c r="T893" s="15">
        <f t="shared" si="233"/>
        <v>0</v>
      </c>
    </row>
    <row r="894" spans="2:20" x14ac:dyDescent="0.25">
      <c r="B894" s="97">
        <f t="shared" si="232"/>
        <v>106</v>
      </c>
      <c r="C894" s="12"/>
      <c r="D894" s="12"/>
      <c r="E894" s="12"/>
      <c r="F894" s="12"/>
      <c r="G894" s="127"/>
      <c r="H894" s="12" t="s">
        <v>520</v>
      </c>
      <c r="I894" s="13"/>
      <c r="J894" s="13"/>
      <c r="K894" s="13"/>
      <c r="L894" s="13"/>
      <c r="M894" s="13"/>
      <c r="N894" s="13"/>
      <c r="O894" s="13"/>
      <c r="P894" s="13"/>
      <c r="Q894" s="13"/>
      <c r="R894" s="13">
        <v>1140</v>
      </c>
      <c r="T894" s="13">
        <f t="shared" si="233"/>
        <v>0</v>
      </c>
    </row>
    <row r="895" spans="2:20" x14ac:dyDescent="0.25">
      <c r="B895" s="97">
        <f t="shared" si="232"/>
        <v>107</v>
      </c>
      <c r="C895" s="12"/>
      <c r="D895" s="12"/>
      <c r="E895" s="12"/>
      <c r="F895" s="54" t="s">
        <v>511</v>
      </c>
      <c r="G895" s="126">
        <v>717</v>
      </c>
      <c r="H895" s="9" t="s">
        <v>327</v>
      </c>
      <c r="I895" s="10"/>
      <c r="J895" s="10"/>
      <c r="K895" s="10"/>
      <c r="L895" s="10"/>
      <c r="M895" s="10"/>
      <c r="N895" s="10">
        <f>N896+N897</f>
        <v>9000</v>
      </c>
      <c r="O895" s="10"/>
      <c r="P895" s="10"/>
      <c r="Q895" s="10"/>
      <c r="R895" s="10">
        <f t="shared" ref="R895" si="246">R896+R897</f>
        <v>0</v>
      </c>
      <c r="T895" s="10">
        <f t="shared" ref="T895:T896" si="247">I895+N895</f>
        <v>9000</v>
      </c>
    </row>
    <row r="896" spans="2:20" x14ac:dyDescent="0.25">
      <c r="B896" s="97">
        <f t="shared" si="232"/>
        <v>108</v>
      </c>
      <c r="C896" s="12"/>
      <c r="D896" s="12"/>
      <c r="E896" s="12"/>
      <c r="F896" s="12"/>
      <c r="G896" s="127"/>
      <c r="H896" s="12" t="s">
        <v>962</v>
      </c>
      <c r="I896" s="13"/>
      <c r="J896" s="13"/>
      <c r="K896" s="13"/>
      <c r="L896" s="13"/>
      <c r="M896" s="13"/>
      <c r="N896" s="13">
        <v>9000</v>
      </c>
      <c r="O896" s="13"/>
      <c r="P896" s="13"/>
      <c r="Q896" s="13"/>
      <c r="R896" s="13"/>
      <c r="T896" s="13">
        <f t="shared" si="247"/>
        <v>9000</v>
      </c>
    </row>
    <row r="897" spans="2:20" x14ac:dyDescent="0.25">
      <c r="B897" s="97">
        <f t="shared" si="232"/>
        <v>109</v>
      </c>
      <c r="C897" s="51"/>
      <c r="D897" s="51"/>
      <c r="E897" s="51" t="s">
        <v>110</v>
      </c>
      <c r="F897" s="51"/>
      <c r="G897" s="124"/>
      <c r="H897" s="51" t="s">
        <v>111</v>
      </c>
      <c r="I897" s="52">
        <f>I898+I899+I900+I906</f>
        <v>176937</v>
      </c>
      <c r="J897" s="52">
        <f t="shared" ref="J897:M897" si="248">J898+J899+J900+J906</f>
        <v>167203</v>
      </c>
      <c r="K897" s="52">
        <f t="shared" si="248"/>
        <v>171703</v>
      </c>
      <c r="L897" s="52">
        <f t="shared" si="248"/>
        <v>152546</v>
      </c>
      <c r="M897" s="52">
        <f t="shared" si="248"/>
        <v>141112</v>
      </c>
      <c r="N897" s="52"/>
      <c r="O897" s="52"/>
      <c r="P897" s="52"/>
      <c r="Q897" s="52"/>
      <c r="R897" s="52"/>
      <c r="T897" s="52">
        <f t="shared" si="233"/>
        <v>176937</v>
      </c>
    </row>
    <row r="898" spans="2:20" x14ac:dyDescent="0.25">
      <c r="B898" s="97">
        <f t="shared" si="232"/>
        <v>110</v>
      </c>
      <c r="C898" s="29"/>
      <c r="D898" s="29"/>
      <c r="E898" s="29"/>
      <c r="F898" s="53" t="s">
        <v>511</v>
      </c>
      <c r="G898" s="125">
        <v>610</v>
      </c>
      <c r="H898" s="29" t="s">
        <v>338</v>
      </c>
      <c r="I898" s="15">
        <f>96929+720</f>
        <v>97649</v>
      </c>
      <c r="J898" s="15">
        <v>90396</v>
      </c>
      <c r="K898" s="15">
        <v>93396</v>
      </c>
      <c r="L898" s="15">
        <v>80380</v>
      </c>
      <c r="M898" s="15">
        <v>76531</v>
      </c>
      <c r="N898" s="15"/>
      <c r="O898" s="15"/>
      <c r="P898" s="15"/>
      <c r="Q898" s="15"/>
      <c r="R898" s="15"/>
      <c r="T898" s="15">
        <f t="shared" si="233"/>
        <v>97649</v>
      </c>
    </row>
    <row r="899" spans="2:20" x14ac:dyDescent="0.25">
      <c r="B899" s="97">
        <f t="shared" si="232"/>
        <v>111</v>
      </c>
      <c r="C899" s="29"/>
      <c r="D899" s="29"/>
      <c r="E899" s="29"/>
      <c r="F899" s="53" t="s">
        <v>511</v>
      </c>
      <c r="G899" s="125">
        <v>620</v>
      </c>
      <c r="H899" s="29" t="s">
        <v>313</v>
      </c>
      <c r="I899" s="15">
        <f>36868+252</f>
        <v>37120</v>
      </c>
      <c r="J899" s="15">
        <v>34433</v>
      </c>
      <c r="K899" s="15">
        <v>34433</v>
      </c>
      <c r="L899" s="15">
        <v>29137</v>
      </c>
      <c r="M899" s="15">
        <v>27961</v>
      </c>
      <c r="N899" s="15"/>
      <c r="O899" s="15"/>
      <c r="P899" s="15"/>
      <c r="Q899" s="15"/>
      <c r="R899" s="15"/>
      <c r="T899" s="15">
        <f t="shared" si="233"/>
        <v>37120</v>
      </c>
    </row>
    <row r="900" spans="2:20" x14ac:dyDescent="0.25">
      <c r="B900" s="97">
        <f t="shared" si="232"/>
        <v>112</v>
      </c>
      <c r="C900" s="29"/>
      <c r="D900" s="29"/>
      <c r="E900" s="29"/>
      <c r="F900" s="53" t="s">
        <v>511</v>
      </c>
      <c r="G900" s="125">
        <v>630</v>
      </c>
      <c r="H900" s="29" t="s">
        <v>303</v>
      </c>
      <c r="I900" s="15">
        <f>I901+I902+I903+I904+I905</f>
        <v>40628</v>
      </c>
      <c r="J900" s="15">
        <f t="shared" ref="J900:L900" si="249">J905+J904+J903+J902</f>
        <v>39994</v>
      </c>
      <c r="K900" s="15">
        <f t="shared" si="249"/>
        <v>41494</v>
      </c>
      <c r="L900" s="15">
        <f t="shared" si="249"/>
        <v>42598</v>
      </c>
      <c r="M900" s="15">
        <f>M905+M904+M903+M902+M901</f>
        <v>36067</v>
      </c>
      <c r="N900" s="15"/>
      <c r="O900" s="15"/>
      <c r="P900" s="15"/>
      <c r="Q900" s="15"/>
      <c r="R900" s="15"/>
      <c r="T900" s="15">
        <f t="shared" si="233"/>
        <v>40628</v>
      </c>
    </row>
    <row r="901" spans="2:20" x14ac:dyDescent="0.25">
      <c r="B901" s="97">
        <f t="shared" si="232"/>
        <v>113</v>
      </c>
      <c r="C901" s="29"/>
      <c r="D901" s="29"/>
      <c r="E901" s="29"/>
      <c r="F901" s="54" t="s">
        <v>511</v>
      </c>
      <c r="G901" s="126">
        <v>631</v>
      </c>
      <c r="H901" s="9" t="s">
        <v>304</v>
      </c>
      <c r="I901" s="15">
        <v>0</v>
      </c>
      <c r="J901" s="15"/>
      <c r="K901" s="15"/>
      <c r="L901" s="15"/>
      <c r="M901" s="16">
        <v>7</v>
      </c>
      <c r="N901" s="15"/>
      <c r="O901" s="15"/>
      <c r="P901" s="15"/>
      <c r="Q901" s="15"/>
      <c r="R901" s="15"/>
      <c r="T901" s="15">
        <f t="shared" si="233"/>
        <v>0</v>
      </c>
    </row>
    <row r="902" spans="2:20" x14ac:dyDescent="0.25">
      <c r="B902" s="97">
        <f t="shared" si="232"/>
        <v>114</v>
      </c>
      <c r="C902" s="9"/>
      <c r="D902" s="9"/>
      <c r="E902" s="9"/>
      <c r="F902" s="54" t="s">
        <v>511</v>
      </c>
      <c r="G902" s="126">
        <v>632</v>
      </c>
      <c r="H902" s="9" t="s">
        <v>314</v>
      </c>
      <c r="I902" s="10">
        <v>27580</v>
      </c>
      <c r="J902" s="10">
        <v>26980</v>
      </c>
      <c r="K902" s="10">
        <v>26980</v>
      </c>
      <c r="L902" s="10">
        <v>30271</v>
      </c>
      <c r="M902" s="10">
        <v>26513</v>
      </c>
      <c r="N902" s="10"/>
      <c r="O902" s="10"/>
      <c r="P902" s="10"/>
      <c r="Q902" s="10"/>
      <c r="R902" s="10"/>
      <c r="T902" s="10">
        <f t="shared" si="233"/>
        <v>27580</v>
      </c>
    </row>
    <row r="903" spans="2:20" x14ac:dyDescent="0.25">
      <c r="B903" s="97">
        <f t="shared" si="232"/>
        <v>115</v>
      </c>
      <c r="C903" s="9"/>
      <c r="D903" s="9"/>
      <c r="E903" s="9"/>
      <c r="F903" s="54" t="s">
        <v>511</v>
      </c>
      <c r="G903" s="126">
        <v>633</v>
      </c>
      <c r="H903" s="9" t="s">
        <v>305</v>
      </c>
      <c r="I903" s="10">
        <v>7938</v>
      </c>
      <c r="J903" s="10">
        <v>8774</v>
      </c>
      <c r="K903" s="10">
        <v>8774</v>
      </c>
      <c r="L903" s="10">
        <v>6400</v>
      </c>
      <c r="M903" s="10">
        <v>6528</v>
      </c>
      <c r="N903" s="10"/>
      <c r="O903" s="10"/>
      <c r="P903" s="10"/>
      <c r="Q903" s="10"/>
      <c r="R903" s="10"/>
      <c r="T903" s="10">
        <f t="shared" si="233"/>
        <v>7938</v>
      </c>
    </row>
    <row r="904" spans="2:20" x14ac:dyDescent="0.25">
      <c r="B904" s="97">
        <f t="shared" si="232"/>
        <v>116</v>
      </c>
      <c r="C904" s="9"/>
      <c r="D904" s="9"/>
      <c r="E904" s="9"/>
      <c r="F904" s="54" t="s">
        <v>511</v>
      </c>
      <c r="G904" s="126">
        <v>635</v>
      </c>
      <c r="H904" s="9" t="s">
        <v>320</v>
      </c>
      <c r="I904" s="10">
        <v>2100</v>
      </c>
      <c r="J904" s="10">
        <v>1100</v>
      </c>
      <c r="K904" s="10">
        <v>2600</v>
      </c>
      <c r="L904" s="10">
        <v>3050</v>
      </c>
      <c r="M904" s="10">
        <v>305</v>
      </c>
      <c r="N904" s="10"/>
      <c r="O904" s="10"/>
      <c r="P904" s="10"/>
      <c r="Q904" s="10"/>
      <c r="R904" s="10"/>
      <c r="T904" s="10">
        <f t="shared" si="233"/>
        <v>2100</v>
      </c>
    </row>
    <row r="905" spans="2:20" x14ac:dyDescent="0.25">
      <c r="B905" s="97">
        <f t="shared" si="232"/>
        <v>117</v>
      </c>
      <c r="C905" s="9"/>
      <c r="D905" s="9"/>
      <c r="E905" s="9"/>
      <c r="F905" s="54" t="s">
        <v>511</v>
      </c>
      <c r="G905" s="126">
        <v>637</v>
      </c>
      <c r="H905" s="9" t="s">
        <v>308</v>
      </c>
      <c r="I905" s="10">
        <v>3010</v>
      </c>
      <c r="J905" s="10">
        <v>3140</v>
      </c>
      <c r="K905" s="10">
        <v>3140</v>
      </c>
      <c r="L905" s="10">
        <v>2877</v>
      </c>
      <c r="M905" s="10">
        <v>2714</v>
      </c>
      <c r="N905" s="10"/>
      <c r="O905" s="10"/>
      <c r="P905" s="10"/>
      <c r="Q905" s="10"/>
      <c r="R905" s="10"/>
      <c r="T905" s="10">
        <f t="shared" si="233"/>
        <v>3010</v>
      </c>
    </row>
    <row r="906" spans="2:20" x14ac:dyDescent="0.25">
      <c r="B906" s="97">
        <f t="shared" si="232"/>
        <v>118</v>
      </c>
      <c r="C906" s="29"/>
      <c r="D906" s="29"/>
      <c r="E906" s="29"/>
      <c r="F906" s="53" t="s">
        <v>511</v>
      </c>
      <c r="G906" s="125">
        <v>640</v>
      </c>
      <c r="H906" s="29" t="s">
        <v>315</v>
      </c>
      <c r="I906" s="15">
        <v>1540</v>
      </c>
      <c r="J906" s="15">
        <v>2380</v>
      </c>
      <c r="K906" s="15">
        <v>2380</v>
      </c>
      <c r="L906" s="15">
        <v>431</v>
      </c>
      <c r="M906" s="15">
        <v>553</v>
      </c>
      <c r="N906" s="15"/>
      <c r="O906" s="15"/>
      <c r="P906" s="15"/>
      <c r="Q906" s="15"/>
      <c r="R906" s="15"/>
      <c r="T906" s="15">
        <f t="shared" si="233"/>
        <v>1540</v>
      </c>
    </row>
    <row r="907" spans="2:20" x14ac:dyDescent="0.25">
      <c r="B907" s="97">
        <f t="shared" si="232"/>
        <v>119</v>
      </c>
      <c r="C907" s="51"/>
      <c r="D907" s="51"/>
      <c r="E907" s="51" t="s">
        <v>112</v>
      </c>
      <c r="F907" s="51"/>
      <c r="G907" s="124"/>
      <c r="H907" s="51" t="s">
        <v>113</v>
      </c>
      <c r="I907" s="52">
        <f>I908+I909+I910+I916</f>
        <v>262108</v>
      </c>
      <c r="J907" s="52">
        <f t="shared" ref="J907:M907" si="250">J908+J909+J910+J916</f>
        <v>249476</v>
      </c>
      <c r="K907" s="52">
        <f t="shared" si="250"/>
        <v>249476</v>
      </c>
      <c r="L907" s="52">
        <f t="shared" si="250"/>
        <v>231047</v>
      </c>
      <c r="M907" s="52">
        <f t="shared" si="250"/>
        <v>212450</v>
      </c>
      <c r="N907" s="52">
        <f>N917</f>
        <v>200000</v>
      </c>
      <c r="O907" s="52">
        <f t="shared" ref="O907:R907" si="251">O917</f>
        <v>15000</v>
      </c>
      <c r="P907" s="52">
        <f t="shared" si="251"/>
        <v>11000</v>
      </c>
      <c r="Q907" s="52">
        <f t="shared" si="251"/>
        <v>1882</v>
      </c>
      <c r="R907" s="52">
        <f t="shared" si="251"/>
        <v>1140</v>
      </c>
      <c r="T907" s="52">
        <f t="shared" si="233"/>
        <v>462108</v>
      </c>
    </row>
    <row r="908" spans="2:20" x14ac:dyDescent="0.25">
      <c r="B908" s="97">
        <f t="shared" si="232"/>
        <v>120</v>
      </c>
      <c r="C908" s="29"/>
      <c r="D908" s="29"/>
      <c r="E908" s="29"/>
      <c r="F908" s="53" t="s">
        <v>511</v>
      </c>
      <c r="G908" s="125">
        <v>610</v>
      </c>
      <c r="H908" s="29" t="s">
        <v>338</v>
      </c>
      <c r="I908" s="15">
        <f>145571+1080</f>
        <v>146651</v>
      </c>
      <c r="J908" s="15">
        <v>136506</v>
      </c>
      <c r="K908" s="15">
        <v>136506</v>
      </c>
      <c r="L908" s="15">
        <v>124402</v>
      </c>
      <c r="M908" s="15">
        <v>112023</v>
      </c>
      <c r="N908" s="15"/>
      <c r="O908" s="15"/>
      <c r="P908" s="15"/>
      <c r="Q908" s="15"/>
      <c r="R908" s="15"/>
      <c r="T908" s="15">
        <f t="shared" si="233"/>
        <v>146651</v>
      </c>
    </row>
    <row r="909" spans="2:20" x14ac:dyDescent="0.25">
      <c r="B909" s="97">
        <f t="shared" si="232"/>
        <v>121</v>
      </c>
      <c r="C909" s="29"/>
      <c r="D909" s="29"/>
      <c r="E909" s="29"/>
      <c r="F909" s="53" t="s">
        <v>511</v>
      </c>
      <c r="G909" s="125">
        <v>620</v>
      </c>
      <c r="H909" s="29" t="s">
        <v>313</v>
      </c>
      <c r="I909" s="15">
        <f>54929+378</f>
        <v>55307</v>
      </c>
      <c r="J909" s="15">
        <v>51530</v>
      </c>
      <c r="K909" s="15">
        <v>51530</v>
      </c>
      <c r="L909" s="15">
        <v>45603</v>
      </c>
      <c r="M909" s="15">
        <v>40588</v>
      </c>
      <c r="N909" s="15"/>
      <c r="O909" s="15"/>
      <c r="P909" s="15"/>
      <c r="Q909" s="15"/>
      <c r="R909" s="15"/>
      <c r="T909" s="15">
        <f t="shared" si="233"/>
        <v>55307</v>
      </c>
    </row>
    <row r="910" spans="2:20" x14ac:dyDescent="0.25">
      <c r="B910" s="97">
        <f t="shared" si="232"/>
        <v>122</v>
      </c>
      <c r="C910" s="29"/>
      <c r="D910" s="29"/>
      <c r="E910" s="29"/>
      <c r="F910" s="53" t="s">
        <v>511</v>
      </c>
      <c r="G910" s="125">
        <v>630</v>
      </c>
      <c r="H910" s="29" t="s">
        <v>303</v>
      </c>
      <c r="I910" s="15">
        <f>I911+I912+I913+I914+I915</f>
        <v>57854</v>
      </c>
      <c r="J910" s="15">
        <f t="shared" ref="J910:L910" si="252">J915+J914+J913+J912</f>
        <v>59088</v>
      </c>
      <c r="K910" s="15">
        <f t="shared" si="252"/>
        <v>59088</v>
      </c>
      <c r="L910" s="15">
        <f t="shared" si="252"/>
        <v>60529</v>
      </c>
      <c r="M910" s="15">
        <f>M915+M914+M913+M912+M911</f>
        <v>59471</v>
      </c>
      <c r="N910" s="15"/>
      <c r="O910" s="15"/>
      <c r="P910" s="15"/>
      <c r="Q910" s="15"/>
      <c r="R910" s="15"/>
      <c r="T910" s="15">
        <f t="shared" si="233"/>
        <v>57854</v>
      </c>
    </row>
    <row r="911" spans="2:20" x14ac:dyDescent="0.25">
      <c r="B911" s="97">
        <f t="shared" si="232"/>
        <v>123</v>
      </c>
      <c r="C911" s="29"/>
      <c r="D911" s="29"/>
      <c r="E911" s="29"/>
      <c r="F911" s="54" t="s">
        <v>511</v>
      </c>
      <c r="G911" s="126">
        <v>631</v>
      </c>
      <c r="H911" s="9" t="s">
        <v>304</v>
      </c>
      <c r="I911" s="15">
        <v>0</v>
      </c>
      <c r="J911" s="15"/>
      <c r="K911" s="15"/>
      <c r="L911" s="15"/>
      <c r="M911" s="16">
        <v>7</v>
      </c>
      <c r="N911" s="15"/>
      <c r="O911" s="15"/>
      <c r="P911" s="15"/>
      <c r="Q911" s="15"/>
      <c r="R911" s="15"/>
      <c r="T911" s="15">
        <f t="shared" si="233"/>
        <v>0</v>
      </c>
    </row>
    <row r="912" spans="2:20" x14ac:dyDescent="0.25">
      <c r="B912" s="97">
        <f t="shared" si="232"/>
        <v>124</v>
      </c>
      <c r="C912" s="9"/>
      <c r="D912" s="9"/>
      <c r="E912" s="9"/>
      <c r="F912" s="54" t="s">
        <v>511</v>
      </c>
      <c r="G912" s="126">
        <v>632</v>
      </c>
      <c r="H912" s="9" t="s">
        <v>314</v>
      </c>
      <c r="I912" s="10">
        <v>39800</v>
      </c>
      <c r="J912" s="10">
        <v>41760</v>
      </c>
      <c r="K912" s="10">
        <v>41760</v>
      </c>
      <c r="L912" s="10">
        <v>43058</v>
      </c>
      <c r="M912" s="10">
        <v>42659</v>
      </c>
      <c r="N912" s="10"/>
      <c r="O912" s="10"/>
      <c r="P912" s="10"/>
      <c r="Q912" s="10"/>
      <c r="R912" s="10"/>
      <c r="T912" s="10">
        <f t="shared" si="233"/>
        <v>39800</v>
      </c>
    </row>
    <row r="913" spans="2:20" x14ac:dyDescent="0.25">
      <c r="B913" s="97">
        <f t="shared" si="232"/>
        <v>125</v>
      </c>
      <c r="C913" s="9"/>
      <c r="D913" s="9"/>
      <c r="E913" s="9"/>
      <c r="F913" s="54" t="s">
        <v>511</v>
      </c>
      <c r="G913" s="126">
        <v>633</v>
      </c>
      <c r="H913" s="9" t="s">
        <v>305</v>
      </c>
      <c r="I913" s="10">
        <v>11104</v>
      </c>
      <c r="J913" s="10">
        <v>10678</v>
      </c>
      <c r="K913" s="10">
        <v>10678</v>
      </c>
      <c r="L913" s="10">
        <v>12373</v>
      </c>
      <c r="M913" s="10">
        <v>9569</v>
      </c>
      <c r="N913" s="10"/>
      <c r="O913" s="10"/>
      <c r="P913" s="10"/>
      <c r="Q913" s="10"/>
      <c r="R913" s="10"/>
      <c r="T913" s="10">
        <f t="shared" si="233"/>
        <v>11104</v>
      </c>
    </row>
    <row r="914" spans="2:20" x14ac:dyDescent="0.25">
      <c r="B914" s="97">
        <f t="shared" si="232"/>
        <v>126</v>
      </c>
      <c r="C914" s="9"/>
      <c r="D914" s="9"/>
      <c r="E914" s="9"/>
      <c r="F914" s="54" t="s">
        <v>511</v>
      </c>
      <c r="G914" s="126">
        <v>635</v>
      </c>
      <c r="H914" s="9" t="s">
        <v>320</v>
      </c>
      <c r="I914" s="10">
        <v>2600</v>
      </c>
      <c r="J914" s="10">
        <v>2550</v>
      </c>
      <c r="K914" s="10">
        <v>2550</v>
      </c>
      <c r="L914" s="10">
        <v>790</v>
      </c>
      <c r="M914" s="10">
        <v>3328</v>
      </c>
      <c r="N914" s="10"/>
      <c r="O914" s="10"/>
      <c r="P914" s="10"/>
      <c r="Q914" s="10"/>
      <c r="R914" s="10"/>
      <c r="T914" s="10">
        <f t="shared" si="233"/>
        <v>2600</v>
      </c>
    </row>
    <row r="915" spans="2:20" x14ac:dyDescent="0.25">
      <c r="B915" s="97">
        <f t="shared" si="232"/>
        <v>127</v>
      </c>
      <c r="C915" s="9"/>
      <c r="D915" s="9"/>
      <c r="E915" s="9"/>
      <c r="F915" s="54" t="s">
        <v>511</v>
      </c>
      <c r="G915" s="126">
        <v>637</v>
      </c>
      <c r="H915" s="9" t="s">
        <v>308</v>
      </c>
      <c r="I915" s="10">
        <v>4350</v>
      </c>
      <c r="J915" s="10">
        <v>4100</v>
      </c>
      <c r="K915" s="10">
        <v>4100</v>
      </c>
      <c r="L915" s="10">
        <v>4308</v>
      </c>
      <c r="M915" s="10">
        <v>3908</v>
      </c>
      <c r="N915" s="10"/>
      <c r="O915" s="10"/>
      <c r="P915" s="10"/>
      <c r="Q915" s="10"/>
      <c r="R915" s="10"/>
      <c r="T915" s="10">
        <f t="shared" si="233"/>
        <v>4350</v>
      </c>
    </row>
    <row r="916" spans="2:20" x14ac:dyDescent="0.25">
      <c r="B916" s="97">
        <f t="shared" si="232"/>
        <v>128</v>
      </c>
      <c r="C916" s="29"/>
      <c r="D916" s="29"/>
      <c r="E916" s="29"/>
      <c r="F916" s="53" t="s">
        <v>511</v>
      </c>
      <c r="G916" s="125">
        <v>640</v>
      </c>
      <c r="H916" s="29" t="s">
        <v>315</v>
      </c>
      <c r="I916" s="15">
        <v>2296</v>
      </c>
      <c r="J916" s="15">
        <v>2352</v>
      </c>
      <c r="K916" s="15">
        <v>2352</v>
      </c>
      <c r="L916" s="15">
        <v>513</v>
      </c>
      <c r="M916" s="15">
        <v>368</v>
      </c>
      <c r="N916" s="15"/>
      <c r="O916" s="15"/>
      <c r="P916" s="15"/>
      <c r="Q916" s="15"/>
      <c r="R916" s="15"/>
      <c r="T916" s="15">
        <f t="shared" si="233"/>
        <v>2296</v>
      </c>
    </row>
    <row r="917" spans="2:20" x14ac:dyDescent="0.25">
      <c r="B917" s="97">
        <f t="shared" si="232"/>
        <v>129</v>
      </c>
      <c r="C917" s="29"/>
      <c r="D917" s="29"/>
      <c r="E917" s="29"/>
      <c r="F917" s="53" t="s">
        <v>511</v>
      </c>
      <c r="G917" s="125">
        <v>710</v>
      </c>
      <c r="H917" s="29" t="s">
        <v>321</v>
      </c>
      <c r="I917" s="15"/>
      <c r="J917" s="15"/>
      <c r="K917" s="15"/>
      <c r="L917" s="15"/>
      <c r="M917" s="15"/>
      <c r="N917" s="15">
        <f>N918+N920</f>
        <v>200000</v>
      </c>
      <c r="O917" s="15">
        <f t="shared" ref="O917:R917" si="253">O918+O920</f>
        <v>15000</v>
      </c>
      <c r="P917" s="15">
        <f t="shared" si="253"/>
        <v>11000</v>
      </c>
      <c r="Q917" s="15">
        <f t="shared" si="253"/>
        <v>1882</v>
      </c>
      <c r="R917" s="15">
        <f t="shared" si="253"/>
        <v>1140</v>
      </c>
      <c r="T917" s="15">
        <f t="shared" si="233"/>
        <v>200000</v>
      </c>
    </row>
    <row r="918" spans="2:20" x14ac:dyDescent="0.25">
      <c r="B918" s="97">
        <f t="shared" si="232"/>
        <v>130</v>
      </c>
      <c r="C918" s="29"/>
      <c r="D918" s="29"/>
      <c r="E918" s="29"/>
      <c r="F918" s="54" t="s">
        <v>511</v>
      </c>
      <c r="G918" s="126">
        <v>716</v>
      </c>
      <c r="H918" s="9" t="s">
        <v>323</v>
      </c>
      <c r="I918" s="15"/>
      <c r="J918" s="15"/>
      <c r="K918" s="15"/>
      <c r="L918" s="15"/>
      <c r="M918" s="15"/>
      <c r="N918" s="15"/>
      <c r="O918" s="15"/>
      <c r="P918" s="15"/>
      <c r="Q918" s="15"/>
      <c r="R918" s="15">
        <f t="shared" ref="R918" si="254">R919</f>
        <v>1140</v>
      </c>
      <c r="T918" s="15">
        <f t="shared" si="233"/>
        <v>0</v>
      </c>
    </row>
    <row r="919" spans="2:20" x14ac:dyDescent="0.25">
      <c r="B919" s="97">
        <f t="shared" si="232"/>
        <v>131</v>
      </c>
      <c r="C919" s="12"/>
      <c r="D919" s="12"/>
      <c r="E919" s="12"/>
      <c r="F919" s="12"/>
      <c r="G919" s="127"/>
      <c r="H919" s="12" t="s">
        <v>521</v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>
        <v>1140</v>
      </c>
      <c r="T919" s="13">
        <f t="shared" si="233"/>
        <v>0</v>
      </c>
    </row>
    <row r="920" spans="2:20" x14ac:dyDescent="0.25">
      <c r="B920" s="97">
        <f t="shared" ref="B920:B983" si="255">B919+1</f>
        <v>132</v>
      </c>
      <c r="C920" s="29"/>
      <c r="D920" s="29"/>
      <c r="E920" s="29"/>
      <c r="F920" s="54" t="s">
        <v>511</v>
      </c>
      <c r="G920" s="126">
        <v>717</v>
      </c>
      <c r="H920" s="9" t="s">
        <v>327</v>
      </c>
      <c r="I920" s="15"/>
      <c r="J920" s="15"/>
      <c r="K920" s="15"/>
      <c r="L920" s="15"/>
      <c r="M920" s="15"/>
      <c r="N920" s="15">
        <f>N921+N922+N923</f>
        <v>200000</v>
      </c>
      <c r="O920" s="15">
        <f t="shared" ref="O920:Q920" si="256">O921+O922+O923</f>
        <v>15000</v>
      </c>
      <c r="P920" s="15">
        <f t="shared" si="256"/>
        <v>11000</v>
      </c>
      <c r="Q920" s="15">
        <f t="shared" si="256"/>
        <v>1882</v>
      </c>
      <c r="R920" s="15"/>
      <c r="T920" s="15">
        <f t="shared" ref="T920:T983" si="257">I920+N920</f>
        <v>200000</v>
      </c>
    </row>
    <row r="921" spans="2:20" x14ac:dyDescent="0.25">
      <c r="B921" s="97">
        <f t="shared" si="255"/>
        <v>133</v>
      </c>
      <c r="C921" s="12"/>
      <c r="D921" s="12"/>
      <c r="E921" s="12"/>
      <c r="F921" s="12"/>
      <c r="G921" s="127"/>
      <c r="H921" s="12" t="s">
        <v>529</v>
      </c>
      <c r="I921" s="13"/>
      <c r="J921" s="13"/>
      <c r="K921" s="13"/>
      <c r="L921" s="13"/>
      <c r="M921" s="13"/>
      <c r="N921" s="13"/>
      <c r="O921" s="13">
        <v>15000</v>
      </c>
      <c r="P921" s="13">
        <v>11000</v>
      </c>
      <c r="Q921" s="13"/>
      <c r="R921" s="13"/>
      <c r="T921" s="13">
        <f t="shared" si="257"/>
        <v>0</v>
      </c>
    </row>
    <row r="922" spans="2:20" x14ac:dyDescent="0.25">
      <c r="B922" s="97">
        <f t="shared" si="255"/>
        <v>134</v>
      </c>
      <c r="C922" s="12"/>
      <c r="D922" s="12"/>
      <c r="E922" s="12"/>
      <c r="F922" s="12"/>
      <c r="G922" s="127"/>
      <c r="H922" s="12" t="s">
        <v>530</v>
      </c>
      <c r="I922" s="13"/>
      <c r="J922" s="13"/>
      <c r="K922" s="13"/>
      <c r="L922" s="13"/>
      <c r="M922" s="13"/>
      <c r="N922" s="13"/>
      <c r="O922" s="13"/>
      <c r="P922" s="13"/>
      <c r="Q922" s="13">
        <v>1882</v>
      </c>
      <c r="R922" s="13"/>
      <c r="T922" s="13">
        <f t="shared" si="257"/>
        <v>0</v>
      </c>
    </row>
    <row r="923" spans="2:20" x14ac:dyDescent="0.25">
      <c r="B923" s="97">
        <f t="shared" si="255"/>
        <v>135</v>
      </c>
      <c r="C923" s="12"/>
      <c r="D923" s="12"/>
      <c r="E923" s="12"/>
      <c r="F923" s="12"/>
      <c r="G923" s="127"/>
      <c r="H923" s="91" t="s">
        <v>856</v>
      </c>
      <c r="I923" s="13"/>
      <c r="J923" s="13"/>
      <c r="K923" s="13"/>
      <c r="L923" s="13"/>
      <c r="M923" s="13"/>
      <c r="N923" s="13">
        <v>200000</v>
      </c>
      <c r="O923" s="13"/>
      <c r="P923" s="13"/>
      <c r="Q923" s="13"/>
      <c r="R923" s="13"/>
      <c r="T923" s="13">
        <f t="shared" si="257"/>
        <v>200000</v>
      </c>
    </row>
    <row r="924" spans="2:20" x14ac:dyDescent="0.25">
      <c r="B924" s="97">
        <f t="shared" si="255"/>
        <v>136</v>
      </c>
      <c r="C924" s="51"/>
      <c r="D924" s="51"/>
      <c r="E924" s="51" t="s">
        <v>114</v>
      </c>
      <c r="F924" s="51"/>
      <c r="G924" s="124"/>
      <c r="H924" s="51" t="s">
        <v>115</v>
      </c>
      <c r="I924" s="52">
        <f>I925+I926+I927+I933</f>
        <v>269739</v>
      </c>
      <c r="J924" s="52">
        <f t="shared" ref="J924:M924" si="258">J925+J926+J927+J933</f>
        <v>260525</v>
      </c>
      <c r="K924" s="52">
        <f t="shared" si="258"/>
        <v>262085</v>
      </c>
      <c r="L924" s="52">
        <f t="shared" si="258"/>
        <v>243991</v>
      </c>
      <c r="M924" s="52">
        <f t="shared" si="258"/>
        <v>222167</v>
      </c>
      <c r="N924" s="52">
        <f>N934</f>
        <v>0</v>
      </c>
      <c r="O924" s="52">
        <f t="shared" ref="O924:R924" si="259">O934</f>
        <v>0</v>
      </c>
      <c r="P924" s="52">
        <f t="shared" si="259"/>
        <v>7000</v>
      </c>
      <c r="Q924" s="52">
        <f t="shared" si="259"/>
        <v>0</v>
      </c>
      <c r="R924" s="52">
        <f t="shared" si="259"/>
        <v>1000</v>
      </c>
      <c r="T924" s="52">
        <f t="shared" si="257"/>
        <v>269739</v>
      </c>
    </row>
    <row r="925" spans="2:20" x14ac:dyDescent="0.25">
      <c r="B925" s="97">
        <f t="shared" si="255"/>
        <v>137</v>
      </c>
      <c r="C925" s="29"/>
      <c r="D925" s="29"/>
      <c r="E925" s="29"/>
      <c r="F925" s="53" t="s">
        <v>511</v>
      </c>
      <c r="G925" s="125">
        <v>610</v>
      </c>
      <c r="H925" s="29" t="s">
        <v>338</v>
      </c>
      <c r="I925" s="15">
        <f>142591+1080</f>
        <v>143671</v>
      </c>
      <c r="J925" s="15">
        <v>134310</v>
      </c>
      <c r="K925" s="15">
        <v>134310</v>
      </c>
      <c r="L925" s="15">
        <v>130412</v>
      </c>
      <c r="M925" s="15">
        <v>113371</v>
      </c>
      <c r="N925" s="15"/>
      <c r="O925" s="15"/>
      <c r="P925" s="15"/>
      <c r="Q925" s="15"/>
      <c r="R925" s="15"/>
      <c r="T925" s="15">
        <f t="shared" si="257"/>
        <v>143671</v>
      </c>
    </row>
    <row r="926" spans="2:20" x14ac:dyDescent="0.25">
      <c r="B926" s="97">
        <f t="shared" si="255"/>
        <v>138</v>
      </c>
      <c r="C926" s="29"/>
      <c r="D926" s="29"/>
      <c r="E926" s="29"/>
      <c r="F926" s="53" t="s">
        <v>511</v>
      </c>
      <c r="G926" s="125">
        <v>620</v>
      </c>
      <c r="H926" s="29" t="s">
        <v>313</v>
      </c>
      <c r="I926" s="15">
        <f>54760+378</f>
        <v>55138</v>
      </c>
      <c r="J926" s="15">
        <v>51588</v>
      </c>
      <c r="K926" s="15">
        <v>51588</v>
      </c>
      <c r="L926" s="15">
        <v>44384</v>
      </c>
      <c r="M926" s="15">
        <v>40518</v>
      </c>
      <c r="N926" s="15"/>
      <c r="O926" s="15"/>
      <c r="P926" s="15"/>
      <c r="Q926" s="15"/>
      <c r="R926" s="15"/>
      <c r="T926" s="15">
        <f t="shared" si="257"/>
        <v>55138</v>
      </c>
    </row>
    <row r="927" spans="2:20" x14ac:dyDescent="0.25">
      <c r="B927" s="97">
        <f t="shared" si="255"/>
        <v>139</v>
      </c>
      <c r="C927" s="29"/>
      <c r="D927" s="29"/>
      <c r="E927" s="29"/>
      <c r="F927" s="53" t="s">
        <v>511</v>
      </c>
      <c r="G927" s="125">
        <v>630</v>
      </c>
      <c r="H927" s="29" t="s">
        <v>303</v>
      </c>
      <c r="I927" s="15">
        <f>SUM(I928:I932)</f>
        <v>68561</v>
      </c>
      <c r="J927" s="15">
        <f t="shared" ref="J927:L927" si="260">J932+J931+J930+J929</f>
        <v>69923</v>
      </c>
      <c r="K927" s="15">
        <f t="shared" si="260"/>
        <v>71483</v>
      </c>
      <c r="L927" s="15">
        <f t="shared" si="260"/>
        <v>69130</v>
      </c>
      <c r="M927" s="15">
        <f>M932+M931+M930+M929+M928</f>
        <v>67626</v>
      </c>
      <c r="N927" s="15"/>
      <c r="O927" s="15"/>
      <c r="P927" s="15"/>
      <c r="Q927" s="15"/>
      <c r="R927" s="15"/>
      <c r="T927" s="15">
        <f t="shared" si="257"/>
        <v>68561</v>
      </c>
    </row>
    <row r="928" spans="2:20" x14ac:dyDescent="0.25">
      <c r="B928" s="97">
        <f t="shared" si="255"/>
        <v>140</v>
      </c>
      <c r="C928" s="29"/>
      <c r="D928" s="29"/>
      <c r="E928" s="29"/>
      <c r="F928" s="54" t="s">
        <v>511</v>
      </c>
      <c r="G928" s="126">
        <v>631</v>
      </c>
      <c r="H928" s="9" t="s">
        <v>304</v>
      </c>
      <c r="I928" s="15">
        <v>0</v>
      </c>
      <c r="J928" s="15"/>
      <c r="K928" s="15"/>
      <c r="L928" s="15"/>
      <c r="M928" s="16">
        <v>14</v>
      </c>
      <c r="N928" s="15"/>
      <c r="O928" s="15"/>
      <c r="P928" s="15"/>
      <c r="Q928" s="15"/>
      <c r="R928" s="15"/>
      <c r="T928" s="15">
        <f t="shared" si="257"/>
        <v>0</v>
      </c>
    </row>
    <row r="929" spans="2:20" x14ac:dyDescent="0.25">
      <c r="B929" s="97">
        <f t="shared" si="255"/>
        <v>141</v>
      </c>
      <c r="C929" s="9"/>
      <c r="D929" s="9"/>
      <c r="E929" s="9"/>
      <c r="F929" s="54" t="s">
        <v>511</v>
      </c>
      <c r="G929" s="126">
        <v>632</v>
      </c>
      <c r="H929" s="9" t="s">
        <v>314</v>
      </c>
      <c r="I929" s="10">
        <v>48710</v>
      </c>
      <c r="J929" s="10">
        <v>53910</v>
      </c>
      <c r="K929" s="10">
        <v>53910</v>
      </c>
      <c r="L929" s="10">
        <v>51376</v>
      </c>
      <c r="M929" s="10">
        <v>52586</v>
      </c>
      <c r="N929" s="10"/>
      <c r="O929" s="10"/>
      <c r="P929" s="10"/>
      <c r="Q929" s="10"/>
      <c r="R929" s="10"/>
      <c r="T929" s="10">
        <f t="shared" si="257"/>
        <v>48710</v>
      </c>
    </row>
    <row r="930" spans="2:20" x14ac:dyDescent="0.25">
      <c r="B930" s="97">
        <f t="shared" si="255"/>
        <v>142</v>
      </c>
      <c r="C930" s="9"/>
      <c r="D930" s="9"/>
      <c r="E930" s="9"/>
      <c r="F930" s="54" t="s">
        <v>511</v>
      </c>
      <c r="G930" s="126">
        <v>633</v>
      </c>
      <c r="H930" s="9" t="s">
        <v>305</v>
      </c>
      <c r="I930" s="10">
        <v>12061</v>
      </c>
      <c r="J930" s="10">
        <v>10283</v>
      </c>
      <c r="K930" s="10">
        <f>10283+1560</f>
        <v>11843</v>
      </c>
      <c r="L930" s="10">
        <v>13005</v>
      </c>
      <c r="M930" s="10">
        <v>10488</v>
      </c>
      <c r="N930" s="10"/>
      <c r="O930" s="10"/>
      <c r="P930" s="10"/>
      <c r="Q930" s="10"/>
      <c r="R930" s="10"/>
      <c r="T930" s="10">
        <f t="shared" si="257"/>
        <v>12061</v>
      </c>
    </row>
    <row r="931" spans="2:20" x14ac:dyDescent="0.25">
      <c r="B931" s="97">
        <f t="shared" si="255"/>
        <v>143</v>
      </c>
      <c r="C931" s="9"/>
      <c r="D931" s="9"/>
      <c r="E931" s="9"/>
      <c r="F931" s="54" t="s">
        <v>511</v>
      </c>
      <c r="G931" s="126">
        <v>635</v>
      </c>
      <c r="H931" s="9" t="s">
        <v>320</v>
      </c>
      <c r="I931" s="10">
        <v>3100</v>
      </c>
      <c r="J931" s="10">
        <v>800</v>
      </c>
      <c r="K931" s="10">
        <v>800</v>
      </c>
      <c r="L931" s="10">
        <v>846</v>
      </c>
      <c r="M931" s="10">
        <v>118</v>
      </c>
      <c r="N931" s="10"/>
      <c r="O931" s="10"/>
      <c r="P931" s="10"/>
      <c r="Q931" s="10"/>
      <c r="R931" s="10"/>
      <c r="T931" s="10">
        <f t="shared" si="257"/>
        <v>3100</v>
      </c>
    </row>
    <row r="932" spans="2:20" x14ac:dyDescent="0.25">
      <c r="B932" s="97">
        <f t="shared" si="255"/>
        <v>144</v>
      </c>
      <c r="C932" s="9"/>
      <c r="D932" s="9"/>
      <c r="E932" s="9"/>
      <c r="F932" s="54" t="s">
        <v>511</v>
      </c>
      <c r="G932" s="126">
        <v>637</v>
      </c>
      <c r="H932" s="9" t="s">
        <v>308</v>
      </c>
      <c r="I932" s="10">
        <v>4690</v>
      </c>
      <c r="J932" s="10">
        <v>4930</v>
      </c>
      <c r="K932" s="10">
        <v>4930</v>
      </c>
      <c r="L932" s="10">
        <v>3903</v>
      </c>
      <c r="M932" s="10">
        <v>4420</v>
      </c>
      <c r="N932" s="10"/>
      <c r="O932" s="10"/>
      <c r="P932" s="10"/>
      <c r="Q932" s="10"/>
      <c r="R932" s="10"/>
      <c r="T932" s="10">
        <f t="shared" si="257"/>
        <v>4690</v>
      </c>
    </row>
    <row r="933" spans="2:20" x14ac:dyDescent="0.25">
      <c r="B933" s="97">
        <f t="shared" si="255"/>
        <v>145</v>
      </c>
      <c r="C933" s="29"/>
      <c r="D933" s="29"/>
      <c r="E933" s="29"/>
      <c r="F933" s="53" t="s">
        <v>511</v>
      </c>
      <c r="G933" s="125">
        <v>640</v>
      </c>
      <c r="H933" s="29" t="s">
        <v>315</v>
      </c>
      <c r="I933" s="15">
        <v>2369</v>
      </c>
      <c r="J933" s="15">
        <v>4704</v>
      </c>
      <c r="K933" s="15">
        <v>4704</v>
      </c>
      <c r="L933" s="15">
        <v>65</v>
      </c>
      <c r="M933" s="15">
        <v>652</v>
      </c>
      <c r="N933" s="15"/>
      <c r="O933" s="15"/>
      <c r="P933" s="15"/>
      <c r="Q933" s="15"/>
      <c r="R933" s="15"/>
      <c r="T933" s="15">
        <f t="shared" si="257"/>
        <v>2369</v>
      </c>
    </row>
    <row r="934" spans="2:20" x14ac:dyDescent="0.25">
      <c r="B934" s="97">
        <f t="shared" si="255"/>
        <v>146</v>
      </c>
      <c r="C934" s="29"/>
      <c r="D934" s="29"/>
      <c r="E934" s="29"/>
      <c r="F934" s="53" t="s">
        <v>511</v>
      </c>
      <c r="G934" s="125">
        <v>710</v>
      </c>
      <c r="H934" s="29" t="s">
        <v>321</v>
      </c>
      <c r="I934" s="15"/>
      <c r="J934" s="15"/>
      <c r="K934" s="15"/>
      <c r="L934" s="15"/>
      <c r="M934" s="15"/>
      <c r="N934" s="15"/>
      <c r="O934" s="15"/>
      <c r="P934" s="15">
        <f t="shared" ref="P934:R934" si="261">P935+P937</f>
        <v>7000</v>
      </c>
      <c r="Q934" s="15"/>
      <c r="R934" s="15">
        <f t="shared" si="261"/>
        <v>1000</v>
      </c>
      <c r="T934" s="15">
        <f t="shared" si="257"/>
        <v>0</v>
      </c>
    </row>
    <row r="935" spans="2:20" x14ac:dyDescent="0.25">
      <c r="B935" s="97">
        <f t="shared" si="255"/>
        <v>147</v>
      </c>
      <c r="C935" s="29"/>
      <c r="D935" s="29"/>
      <c r="E935" s="29"/>
      <c r="F935" s="54" t="s">
        <v>511</v>
      </c>
      <c r="G935" s="126">
        <v>716</v>
      </c>
      <c r="H935" s="9" t="s">
        <v>323</v>
      </c>
      <c r="I935" s="15"/>
      <c r="J935" s="15"/>
      <c r="K935" s="15"/>
      <c r="L935" s="15"/>
      <c r="M935" s="15"/>
      <c r="N935" s="15"/>
      <c r="O935" s="15"/>
      <c r="P935" s="15"/>
      <c r="Q935" s="15"/>
      <c r="R935" s="15">
        <f t="shared" ref="R935" si="262">R936</f>
        <v>1000</v>
      </c>
      <c r="T935" s="15">
        <f t="shared" si="257"/>
        <v>0</v>
      </c>
    </row>
    <row r="936" spans="2:20" x14ac:dyDescent="0.25">
      <c r="B936" s="97">
        <f t="shared" si="255"/>
        <v>148</v>
      </c>
      <c r="C936" s="12"/>
      <c r="D936" s="12"/>
      <c r="E936" s="12"/>
      <c r="F936" s="12"/>
      <c r="G936" s="127"/>
      <c r="H936" s="12" t="s">
        <v>522</v>
      </c>
      <c r="I936" s="13"/>
      <c r="J936" s="13"/>
      <c r="K936" s="13"/>
      <c r="L936" s="13"/>
      <c r="M936" s="13"/>
      <c r="N936" s="13"/>
      <c r="O936" s="13"/>
      <c r="P936" s="13"/>
      <c r="Q936" s="13"/>
      <c r="R936" s="13">
        <v>1000</v>
      </c>
      <c r="T936" s="13">
        <f t="shared" si="257"/>
        <v>0</v>
      </c>
    </row>
    <row r="937" spans="2:20" x14ac:dyDescent="0.25">
      <c r="B937" s="97">
        <f t="shared" si="255"/>
        <v>149</v>
      </c>
      <c r="C937" s="29"/>
      <c r="D937" s="29"/>
      <c r="E937" s="29"/>
      <c r="F937" s="54" t="s">
        <v>511</v>
      </c>
      <c r="G937" s="126">
        <v>717</v>
      </c>
      <c r="H937" s="9" t="s">
        <v>327</v>
      </c>
      <c r="I937" s="15"/>
      <c r="J937" s="15"/>
      <c r="K937" s="15"/>
      <c r="L937" s="15"/>
      <c r="M937" s="15"/>
      <c r="N937" s="15"/>
      <c r="O937" s="15"/>
      <c r="P937" s="15">
        <f t="shared" ref="P937" si="263">P938</f>
        <v>7000</v>
      </c>
      <c r="Q937" s="15"/>
      <c r="R937" s="15"/>
      <c r="T937" s="15">
        <f t="shared" si="257"/>
        <v>0</v>
      </c>
    </row>
    <row r="938" spans="2:20" x14ac:dyDescent="0.25">
      <c r="B938" s="97">
        <f t="shared" si="255"/>
        <v>150</v>
      </c>
      <c r="C938" s="12"/>
      <c r="D938" s="12"/>
      <c r="E938" s="12"/>
      <c r="F938" s="12"/>
      <c r="G938" s="127"/>
      <c r="H938" s="12" t="s">
        <v>534</v>
      </c>
      <c r="I938" s="13"/>
      <c r="J938" s="13"/>
      <c r="K938" s="13"/>
      <c r="L938" s="13"/>
      <c r="M938" s="13"/>
      <c r="N938" s="13"/>
      <c r="O938" s="13"/>
      <c r="P938" s="13">
        <v>7000</v>
      </c>
      <c r="Q938" s="13"/>
      <c r="R938" s="13"/>
      <c r="T938" s="13">
        <f t="shared" si="257"/>
        <v>0</v>
      </c>
    </row>
    <row r="939" spans="2:20" x14ac:dyDescent="0.25">
      <c r="B939" s="97">
        <f t="shared" si="255"/>
        <v>151</v>
      </c>
      <c r="C939" s="51"/>
      <c r="D939" s="51"/>
      <c r="E939" s="51" t="s">
        <v>116</v>
      </c>
      <c r="F939" s="51"/>
      <c r="G939" s="124"/>
      <c r="H939" s="51" t="s">
        <v>117</v>
      </c>
      <c r="I939" s="52">
        <f>I940+I941+I942+I948</f>
        <v>180045</v>
      </c>
      <c r="J939" s="52">
        <f t="shared" ref="J939:M939" si="264">J940+J941+J942+J948</f>
        <v>165031</v>
      </c>
      <c r="K939" s="52">
        <f t="shared" si="264"/>
        <v>165031</v>
      </c>
      <c r="L939" s="52">
        <f t="shared" si="264"/>
        <v>139931</v>
      </c>
      <c r="M939" s="52">
        <f t="shared" si="264"/>
        <v>110566</v>
      </c>
      <c r="N939" s="52">
        <f>N949</f>
        <v>0</v>
      </c>
      <c r="O939" s="52">
        <f t="shared" ref="O939:R939" si="265">O949</f>
        <v>40000</v>
      </c>
      <c r="P939" s="52">
        <f t="shared" si="265"/>
        <v>163000</v>
      </c>
      <c r="Q939" s="52">
        <f t="shared" si="265"/>
        <v>36191</v>
      </c>
      <c r="R939" s="52">
        <f t="shared" si="265"/>
        <v>8288</v>
      </c>
      <c r="T939" s="52">
        <f t="shared" si="257"/>
        <v>180045</v>
      </c>
    </row>
    <row r="940" spans="2:20" x14ac:dyDescent="0.25">
      <c r="B940" s="97">
        <f t="shared" si="255"/>
        <v>152</v>
      </c>
      <c r="C940" s="29"/>
      <c r="D940" s="29"/>
      <c r="E940" s="29"/>
      <c r="F940" s="53" t="s">
        <v>511</v>
      </c>
      <c r="G940" s="125">
        <v>610</v>
      </c>
      <c r="H940" s="29" t="s">
        <v>338</v>
      </c>
      <c r="I940" s="15">
        <f>106400+900</f>
        <v>107300</v>
      </c>
      <c r="J940" s="15">
        <v>99850</v>
      </c>
      <c r="K940" s="15">
        <v>99850</v>
      </c>
      <c r="L940" s="15">
        <v>78374</v>
      </c>
      <c r="M940" s="15">
        <v>67396</v>
      </c>
      <c r="N940" s="15"/>
      <c r="O940" s="15"/>
      <c r="P940" s="15"/>
      <c r="Q940" s="15"/>
      <c r="R940" s="15"/>
      <c r="T940" s="15">
        <f t="shared" si="257"/>
        <v>107300</v>
      </c>
    </row>
    <row r="941" spans="2:20" x14ac:dyDescent="0.25">
      <c r="B941" s="97">
        <f t="shared" si="255"/>
        <v>153</v>
      </c>
      <c r="C941" s="29"/>
      <c r="D941" s="29"/>
      <c r="E941" s="29"/>
      <c r="F941" s="53" t="s">
        <v>511</v>
      </c>
      <c r="G941" s="125">
        <v>620</v>
      </c>
      <c r="H941" s="29" t="s">
        <v>313</v>
      </c>
      <c r="I941" s="15">
        <f>40085+315</f>
        <v>40400</v>
      </c>
      <c r="J941" s="15">
        <v>37638</v>
      </c>
      <c r="K941" s="15">
        <v>37638</v>
      </c>
      <c r="L941" s="15">
        <v>27288</v>
      </c>
      <c r="M941" s="15">
        <v>23772</v>
      </c>
      <c r="N941" s="15"/>
      <c r="O941" s="15"/>
      <c r="P941" s="15"/>
      <c r="Q941" s="15"/>
      <c r="R941" s="15"/>
      <c r="T941" s="15">
        <f t="shared" si="257"/>
        <v>40400</v>
      </c>
    </row>
    <row r="942" spans="2:20" x14ac:dyDescent="0.25">
      <c r="B942" s="97">
        <f t="shared" si="255"/>
        <v>154</v>
      </c>
      <c r="C942" s="29"/>
      <c r="D942" s="29"/>
      <c r="E942" s="29"/>
      <c r="F942" s="53" t="s">
        <v>511</v>
      </c>
      <c r="G942" s="125">
        <v>630</v>
      </c>
      <c r="H942" s="29" t="s">
        <v>303</v>
      </c>
      <c r="I942" s="15">
        <f>I943+I944+I945+I946+I947</f>
        <v>30805</v>
      </c>
      <c r="J942" s="15">
        <f t="shared" ref="J942:L942" si="266">J947+J946+J945+J944</f>
        <v>26043</v>
      </c>
      <c r="K942" s="15">
        <f t="shared" si="266"/>
        <v>26043</v>
      </c>
      <c r="L942" s="15">
        <f t="shared" si="266"/>
        <v>33699</v>
      </c>
      <c r="M942" s="15">
        <f>M947+M946+M945+M944+M943</f>
        <v>18511</v>
      </c>
      <c r="N942" s="15"/>
      <c r="O942" s="15"/>
      <c r="P942" s="15"/>
      <c r="Q942" s="15"/>
      <c r="R942" s="15"/>
      <c r="T942" s="15">
        <f t="shared" si="257"/>
        <v>30805</v>
      </c>
    </row>
    <row r="943" spans="2:20" x14ac:dyDescent="0.25">
      <c r="B943" s="97">
        <f t="shared" si="255"/>
        <v>155</v>
      </c>
      <c r="C943" s="29"/>
      <c r="D943" s="29"/>
      <c r="E943" s="29"/>
      <c r="F943" s="54" t="s">
        <v>511</v>
      </c>
      <c r="G943" s="126">
        <v>631</v>
      </c>
      <c r="H943" s="9" t="s">
        <v>304</v>
      </c>
      <c r="I943" s="15">
        <v>0</v>
      </c>
      <c r="J943" s="15"/>
      <c r="K943" s="15"/>
      <c r="L943" s="15"/>
      <c r="M943" s="16">
        <v>7</v>
      </c>
      <c r="N943" s="15"/>
      <c r="O943" s="15"/>
      <c r="P943" s="15"/>
      <c r="Q943" s="15"/>
      <c r="R943" s="15"/>
      <c r="T943" s="15">
        <f t="shared" si="257"/>
        <v>0</v>
      </c>
    </row>
    <row r="944" spans="2:20" x14ac:dyDescent="0.25">
      <c r="B944" s="97">
        <f t="shared" si="255"/>
        <v>156</v>
      </c>
      <c r="C944" s="9"/>
      <c r="D944" s="9"/>
      <c r="E944" s="9"/>
      <c r="F944" s="54" t="s">
        <v>511</v>
      </c>
      <c r="G944" s="126">
        <v>632</v>
      </c>
      <c r="H944" s="9" t="s">
        <v>314</v>
      </c>
      <c r="I944" s="10">
        <v>14660</v>
      </c>
      <c r="J944" s="10">
        <v>14100</v>
      </c>
      <c r="K944" s="10">
        <v>14100</v>
      </c>
      <c r="L944" s="10">
        <v>14056</v>
      </c>
      <c r="M944" s="10">
        <v>8733</v>
      </c>
      <c r="N944" s="10"/>
      <c r="O944" s="10"/>
      <c r="P944" s="10"/>
      <c r="Q944" s="10"/>
      <c r="R944" s="10"/>
      <c r="T944" s="10">
        <f t="shared" si="257"/>
        <v>14660</v>
      </c>
    </row>
    <row r="945" spans="2:20" x14ac:dyDescent="0.25">
      <c r="B945" s="97">
        <f t="shared" si="255"/>
        <v>157</v>
      </c>
      <c r="C945" s="9"/>
      <c r="D945" s="9"/>
      <c r="E945" s="9"/>
      <c r="F945" s="54" t="s">
        <v>511</v>
      </c>
      <c r="G945" s="126">
        <v>633</v>
      </c>
      <c r="H945" s="9" t="s">
        <v>305</v>
      </c>
      <c r="I945" s="10">
        <v>7430</v>
      </c>
      <c r="J945" s="10">
        <v>8063</v>
      </c>
      <c r="K945" s="10">
        <v>8063</v>
      </c>
      <c r="L945" s="10">
        <v>12777</v>
      </c>
      <c r="M945" s="10">
        <v>6241</v>
      </c>
      <c r="N945" s="10"/>
      <c r="O945" s="10"/>
      <c r="P945" s="10"/>
      <c r="Q945" s="10"/>
      <c r="R945" s="10"/>
      <c r="T945" s="10">
        <f t="shared" si="257"/>
        <v>7430</v>
      </c>
    </row>
    <row r="946" spans="2:20" x14ac:dyDescent="0.25">
      <c r="B946" s="97">
        <f t="shared" si="255"/>
        <v>158</v>
      </c>
      <c r="C946" s="9"/>
      <c r="D946" s="9"/>
      <c r="E946" s="9"/>
      <c r="F946" s="54" t="s">
        <v>511</v>
      </c>
      <c r="G946" s="126">
        <v>635</v>
      </c>
      <c r="H946" s="9" t="s">
        <v>320</v>
      </c>
      <c r="I946" s="10">
        <v>4850</v>
      </c>
      <c r="J946" s="10">
        <v>550</v>
      </c>
      <c r="K946" s="10">
        <v>550</v>
      </c>
      <c r="L946" s="10">
        <v>2562</v>
      </c>
      <c r="M946" s="10">
        <v>681</v>
      </c>
      <c r="N946" s="10"/>
      <c r="O946" s="10"/>
      <c r="P946" s="10"/>
      <c r="Q946" s="10"/>
      <c r="R946" s="10"/>
      <c r="T946" s="10">
        <f t="shared" si="257"/>
        <v>4850</v>
      </c>
    </row>
    <row r="947" spans="2:20" x14ac:dyDescent="0.25">
      <c r="B947" s="97">
        <f t="shared" si="255"/>
        <v>159</v>
      </c>
      <c r="C947" s="9"/>
      <c r="D947" s="9"/>
      <c r="E947" s="9"/>
      <c r="F947" s="54" t="s">
        <v>511</v>
      </c>
      <c r="G947" s="126">
        <v>637</v>
      </c>
      <c r="H947" s="9" t="s">
        <v>308</v>
      </c>
      <c r="I947" s="10">
        <v>3865</v>
      </c>
      <c r="J947" s="10">
        <v>3330</v>
      </c>
      <c r="K947" s="10">
        <v>3330</v>
      </c>
      <c r="L947" s="10">
        <v>4304</v>
      </c>
      <c r="M947" s="10">
        <v>2849</v>
      </c>
      <c r="N947" s="10"/>
      <c r="O947" s="10"/>
      <c r="P947" s="10"/>
      <c r="Q947" s="10"/>
      <c r="R947" s="10"/>
      <c r="T947" s="10">
        <f t="shared" si="257"/>
        <v>3865</v>
      </c>
    </row>
    <row r="948" spans="2:20" x14ac:dyDescent="0.25">
      <c r="B948" s="97">
        <f t="shared" si="255"/>
        <v>160</v>
      </c>
      <c r="C948" s="29"/>
      <c r="D948" s="29"/>
      <c r="E948" s="29"/>
      <c r="F948" s="53" t="s">
        <v>511</v>
      </c>
      <c r="G948" s="125">
        <v>640</v>
      </c>
      <c r="H948" s="29" t="s">
        <v>315</v>
      </c>
      <c r="I948" s="15">
        <v>1540</v>
      </c>
      <c r="J948" s="15">
        <v>1500</v>
      </c>
      <c r="K948" s="15">
        <v>1500</v>
      </c>
      <c r="L948" s="15">
        <v>570</v>
      </c>
      <c r="M948" s="15">
        <v>887</v>
      </c>
      <c r="N948" s="15"/>
      <c r="O948" s="15"/>
      <c r="P948" s="15"/>
      <c r="Q948" s="15"/>
      <c r="R948" s="15"/>
      <c r="T948" s="15">
        <f t="shared" si="257"/>
        <v>1540</v>
      </c>
    </row>
    <row r="949" spans="2:20" x14ac:dyDescent="0.25">
      <c r="B949" s="97">
        <f t="shared" si="255"/>
        <v>161</v>
      </c>
      <c r="C949" s="29"/>
      <c r="D949" s="29"/>
      <c r="E949" s="29"/>
      <c r="F949" s="53" t="s">
        <v>511</v>
      </c>
      <c r="G949" s="125">
        <v>710</v>
      </c>
      <c r="H949" s="29" t="s">
        <v>321</v>
      </c>
      <c r="I949" s="15"/>
      <c r="J949" s="15"/>
      <c r="K949" s="15"/>
      <c r="L949" s="15"/>
      <c r="M949" s="15"/>
      <c r="N949" s="15"/>
      <c r="O949" s="15">
        <f t="shared" ref="O949:R949" si="267">O950+O952</f>
        <v>40000</v>
      </c>
      <c r="P949" s="15">
        <f t="shared" si="267"/>
        <v>163000</v>
      </c>
      <c r="Q949" s="15">
        <f t="shared" si="267"/>
        <v>36191</v>
      </c>
      <c r="R949" s="15">
        <f t="shared" si="267"/>
        <v>8288</v>
      </c>
      <c r="T949" s="15">
        <f t="shared" si="257"/>
        <v>0</v>
      </c>
    </row>
    <row r="950" spans="2:20" x14ac:dyDescent="0.25">
      <c r="B950" s="97">
        <f t="shared" si="255"/>
        <v>162</v>
      </c>
      <c r="C950" s="29"/>
      <c r="D950" s="29"/>
      <c r="E950" s="29"/>
      <c r="F950" s="54" t="s">
        <v>511</v>
      </c>
      <c r="G950" s="126">
        <v>716</v>
      </c>
      <c r="H950" s="9" t="s">
        <v>323</v>
      </c>
      <c r="I950" s="15"/>
      <c r="J950" s="15"/>
      <c r="K950" s="15"/>
      <c r="L950" s="15"/>
      <c r="M950" s="15"/>
      <c r="N950" s="15"/>
      <c r="O950" s="15">
        <f t="shared" ref="O950:P950" si="268">O951</f>
        <v>1500</v>
      </c>
      <c r="P950" s="15">
        <f t="shared" si="268"/>
        <v>3000</v>
      </c>
      <c r="Q950" s="15"/>
      <c r="R950" s="15"/>
      <c r="T950" s="15">
        <f t="shared" si="257"/>
        <v>0</v>
      </c>
    </row>
    <row r="951" spans="2:20" x14ac:dyDescent="0.25">
      <c r="B951" s="97">
        <f t="shared" si="255"/>
        <v>163</v>
      </c>
      <c r="C951" s="12"/>
      <c r="D951" s="12"/>
      <c r="E951" s="12"/>
      <c r="F951" s="12"/>
      <c r="G951" s="127"/>
      <c r="H951" s="12" t="s">
        <v>515</v>
      </c>
      <c r="I951" s="13"/>
      <c r="J951" s="13"/>
      <c r="K951" s="13"/>
      <c r="L951" s="13"/>
      <c r="M951" s="13"/>
      <c r="N951" s="13"/>
      <c r="O951" s="13">
        <v>1500</v>
      </c>
      <c r="P951" s="13">
        <v>3000</v>
      </c>
      <c r="Q951" s="13"/>
      <c r="R951" s="13"/>
      <c r="T951" s="13">
        <f t="shared" si="257"/>
        <v>0</v>
      </c>
    </row>
    <row r="952" spans="2:20" x14ac:dyDescent="0.25">
      <c r="B952" s="97">
        <f t="shared" si="255"/>
        <v>164</v>
      </c>
      <c r="C952" s="29"/>
      <c r="D952" s="29"/>
      <c r="E952" s="29"/>
      <c r="F952" s="54" t="s">
        <v>511</v>
      </c>
      <c r="G952" s="126">
        <v>717</v>
      </c>
      <c r="H952" s="9" t="s">
        <v>327</v>
      </c>
      <c r="I952" s="15"/>
      <c r="J952" s="15"/>
      <c r="K952" s="15"/>
      <c r="L952" s="15"/>
      <c r="M952" s="15"/>
      <c r="N952" s="15"/>
      <c r="O952" s="15">
        <f t="shared" ref="O952:R952" si="269">O953+O954+O955</f>
        <v>38500</v>
      </c>
      <c r="P952" s="15">
        <f t="shared" si="269"/>
        <v>160000</v>
      </c>
      <c r="Q952" s="15">
        <f t="shared" si="269"/>
        <v>36191</v>
      </c>
      <c r="R952" s="15">
        <f t="shared" si="269"/>
        <v>8288</v>
      </c>
      <c r="T952" s="15">
        <f t="shared" si="257"/>
        <v>0</v>
      </c>
    </row>
    <row r="953" spans="2:20" x14ac:dyDescent="0.25">
      <c r="B953" s="97">
        <f t="shared" si="255"/>
        <v>165</v>
      </c>
      <c r="C953" s="12"/>
      <c r="D953" s="12"/>
      <c r="E953" s="12"/>
      <c r="F953" s="12"/>
      <c r="G953" s="127"/>
      <c r="H953" s="12" t="s">
        <v>525</v>
      </c>
      <c r="I953" s="13"/>
      <c r="J953" s="13"/>
      <c r="K953" s="13"/>
      <c r="L953" s="13"/>
      <c r="M953" s="13"/>
      <c r="N953" s="13"/>
      <c r="O953" s="13"/>
      <c r="P953" s="13"/>
      <c r="Q953" s="13">
        <v>15890</v>
      </c>
      <c r="R953" s="13">
        <v>8288</v>
      </c>
      <c r="T953" s="13">
        <f t="shared" si="257"/>
        <v>0</v>
      </c>
    </row>
    <row r="954" spans="2:20" x14ac:dyDescent="0.25">
      <c r="B954" s="97">
        <f t="shared" si="255"/>
        <v>166</v>
      </c>
      <c r="C954" s="12"/>
      <c r="D954" s="12"/>
      <c r="E954" s="12"/>
      <c r="F954" s="12"/>
      <c r="G954" s="127"/>
      <c r="H954" s="12" t="s">
        <v>515</v>
      </c>
      <c r="I954" s="13"/>
      <c r="J954" s="13"/>
      <c r="K954" s="13"/>
      <c r="L954" s="13"/>
      <c r="M954" s="13"/>
      <c r="N954" s="13"/>
      <c r="O954" s="13">
        <v>38500</v>
      </c>
      <c r="P954" s="13">
        <v>160000</v>
      </c>
      <c r="Q954" s="13">
        <v>12831</v>
      </c>
      <c r="R954" s="13"/>
      <c r="T954" s="13">
        <f t="shared" si="257"/>
        <v>0</v>
      </c>
    </row>
    <row r="955" spans="2:20" x14ac:dyDescent="0.25">
      <c r="B955" s="97">
        <f t="shared" si="255"/>
        <v>167</v>
      </c>
      <c r="C955" s="12"/>
      <c r="D955" s="12"/>
      <c r="E955" s="12"/>
      <c r="F955" s="12"/>
      <c r="G955" s="127"/>
      <c r="H955" s="12" t="s">
        <v>531</v>
      </c>
      <c r="I955" s="13"/>
      <c r="J955" s="13"/>
      <c r="K955" s="13"/>
      <c r="L955" s="13"/>
      <c r="M955" s="13"/>
      <c r="N955" s="13"/>
      <c r="O955" s="13"/>
      <c r="P955" s="13"/>
      <c r="Q955" s="13">
        <v>7470</v>
      </c>
      <c r="R955" s="13"/>
      <c r="T955" s="13">
        <f t="shared" si="257"/>
        <v>0</v>
      </c>
    </row>
    <row r="956" spans="2:20" x14ac:dyDescent="0.25">
      <c r="B956" s="97">
        <f t="shared" si="255"/>
        <v>168</v>
      </c>
      <c r="C956" s="51"/>
      <c r="D956" s="51"/>
      <c r="E956" s="51" t="s">
        <v>118</v>
      </c>
      <c r="F956" s="51"/>
      <c r="G956" s="124"/>
      <c r="H956" s="51" t="s">
        <v>119</v>
      </c>
      <c r="I956" s="52">
        <f>I957+I958+I959+I965</f>
        <v>242389</v>
      </c>
      <c r="J956" s="52">
        <f t="shared" ref="J956:M956" si="270">J957+J958+J959+J965</f>
        <v>232516</v>
      </c>
      <c r="K956" s="52">
        <f t="shared" si="270"/>
        <v>235116</v>
      </c>
      <c r="L956" s="52">
        <f t="shared" si="270"/>
        <v>209524</v>
      </c>
      <c r="M956" s="52">
        <f t="shared" si="270"/>
        <v>190571</v>
      </c>
      <c r="N956" s="52">
        <f>N966</f>
        <v>0</v>
      </c>
      <c r="O956" s="52">
        <f>O966</f>
        <v>50000</v>
      </c>
      <c r="P956" s="52">
        <f t="shared" ref="P956:R956" si="271">P966</f>
        <v>41660</v>
      </c>
      <c r="Q956" s="52">
        <f t="shared" si="271"/>
        <v>1740</v>
      </c>
      <c r="R956" s="52">
        <f t="shared" si="271"/>
        <v>32901.79</v>
      </c>
      <c r="T956" s="52">
        <f t="shared" si="257"/>
        <v>242389</v>
      </c>
    </row>
    <row r="957" spans="2:20" x14ac:dyDescent="0.25">
      <c r="B957" s="97">
        <f t="shared" si="255"/>
        <v>169</v>
      </c>
      <c r="C957" s="29"/>
      <c r="D957" s="29"/>
      <c r="E957" s="29"/>
      <c r="F957" s="53" t="s">
        <v>511</v>
      </c>
      <c r="G957" s="125">
        <v>610</v>
      </c>
      <c r="H957" s="29" t="s">
        <v>338</v>
      </c>
      <c r="I957" s="15">
        <f>131218+1080</f>
        <v>132298</v>
      </c>
      <c r="J957" s="15">
        <v>123215</v>
      </c>
      <c r="K957" s="15">
        <v>123215</v>
      </c>
      <c r="L957" s="15">
        <v>111985</v>
      </c>
      <c r="M957" s="15">
        <v>99975</v>
      </c>
      <c r="N957" s="15"/>
      <c r="O957" s="15"/>
      <c r="P957" s="15"/>
      <c r="Q957" s="15"/>
      <c r="R957" s="15"/>
      <c r="T957" s="15">
        <f t="shared" si="257"/>
        <v>132298</v>
      </c>
    </row>
    <row r="958" spans="2:20" x14ac:dyDescent="0.25">
      <c r="B958" s="97">
        <f t="shared" si="255"/>
        <v>170</v>
      </c>
      <c r="C958" s="29"/>
      <c r="D958" s="29"/>
      <c r="E958" s="29"/>
      <c r="F958" s="53" t="s">
        <v>511</v>
      </c>
      <c r="G958" s="125">
        <v>620</v>
      </c>
      <c r="H958" s="29" t="s">
        <v>313</v>
      </c>
      <c r="I958" s="15">
        <f>48695+378</f>
        <v>49073</v>
      </c>
      <c r="J958" s="15">
        <v>45750</v>
      </c>
      <c r="K958" s="15">
        <v>45750</v>
      </c>
      <c r="L958" s="15">
        <v>40509</v>
      </c>
      <c r="M958" s="15">
        <v>36369</v>
      </c>
      <c r="N958" s="15"/>
      <c r="O958" s="15"/>
      <c r="P958" s="15"/>
      <c r="Q958" s="15"/>
      <c r="R958" s="15"/>
      <c r="T958" s="15">
        <f t="shared" si="257"/>
        <v>49073</v>
      </c>
    </row>
    <row r="959" spans="2:20" x14ac:dyDescent="0.25">
      <c r="B959" s="97">
        <f t="shared" si="255"/>
        <v>171</v>
      </c>
      <c r="C959" s="29"/>
      <c r="D959" s="29"/>
      <c r="E959" s="29"/>
      <c r="F959" s="53" t="s">
        <v>511</v>
      </c>
      <c r="G959" s="125">
        <v>630</v>
      </c>
      <c r="H959" s="29" t="s">
        <v>303</v>
      </c>
      <c r="I959" s="15">
        <f>I960+I961+I962+I963+I964</f>
        <v>61018</v>
      </c>
      <c r="J959" s="15">
        <f t="shared" ref="J959:L959" si="272">J964+J963+J962+J961</f>
        <v>62011</v>
      </c>
      <c r="K959" s="15">
        <f t="shared" si="272"/>
        <v>64611</v>
      </c>
      <c r="L959" s="15">
        <f t="shared" si="272"/>
        <v>56645</v>
      </c>
      <c r="M959" s="15">
        <f>M964+M963+M962+M961+M960</f>
        <v>53936</v>
      </c>
      <c r="N959" s="15"/>
      <c r="O959" s="15"/>
      <c r="P959" s="15"/>
      <c r="Q959" s="15"/>
      <c r="R959" s="15"/>
      <c r="T959" s="15">
        <f t="shared" si="257"/>
        <v>61018</v>
      </c>
    </row>
    <row r="960" spans="2:20" x14ac:dyDescent="0.25">
      <c r="B960" s="97">
        <f t="shared" si="255"/>
        <v>172</v>
      </c>
      <c r="C960" s="29"/>
      <c r="D960" s="29"/>
      <c r="E960" s="29"/>
      <c r="F960" s="54" t="s">
        <v>511</v>
      </c>
      <c r="G960" s="126">
        <v>631</v>
      </c>
      <c r="H960" s="9" t="s">
        <v>304</v>
      </c>
      <c r="I960" s="15">
        <v>0</v>
      </c>
      <c r="J960" s="15"/>
      <c r="K960" s="15"/>
      <c r="L960" s="15"/>
      <c r="M960" s="16">
        <v>7</v>
      </c>
      <c r="N960" s="15"/>
      <c r="O960" s="15"/>
      <c r="P960" s="15"/>
      <c r="Q960" s="15"/>
      <c r="R960" s="15"/>
      <c r="T960" s="15">
        <f t="shared" si="257"/>
        <v>0</v>
      </c>
    </row>
    <row r="961" spans="2:20" x14ac:dyDescent="0.25">
      <c r="B961" s="97">
        <f t="shared" si="255"/>
        <v>173</v>
      </c>
      <c r="C961" s="9"/>
      <c r="D961" s="9"/>
      <c r="E961" s="9"/>
      <c r="F961" s="54" t="s">
        <v>511</v>
      </c>
      <c r="G961" s="126">
        <v>632</v>
      </c>
      <c r="H961" s="9" t="s">
        <v>314</v>
      </c>
      <c r="I961" s="10">
        <v>39100</v>
      </c>
      <c r="J961" s="10">
        <v>42250</v>
      </c>
      <c r="K961" s="10">
        <v>42250</v>
      </c>
      <c r="L961" s="10">
        <v>42478</v>
      </c>
      <c r="M961" s="10">
        <v>41081</v>
      </c>
      <c r="N961" s="10"/>
      <c r="O961" s="10"/>
      <c r="P961" s="10"/>
      <c r="Q961" s="10"/>
      <c r="R961" s="10"/>
      <c r="T961" s="10">
        <f t="shared" si="257"/>
        <v>39100</v>
      </c>
    </row>
    <row r="962" spans="2:20" x14ac:dyDescent="0.25">
      <c r="B962" s="97">
        <f t="shared" si="255"/>
        <v>174</v>
      </c>
      <c r="C962" s="9"/>
      <c r="D962" s="9"/>
      <c r="E962" s="9"/>
      <c r="F962" s="54" t="s">
        <v>511</v>
      </c>
      <c r="G962" s="126">
        <v>633</v>
      </c>
      <c r="H962" s="9" t="s">
        <v>305</v>
      </c>
      <c r="I962" s="10">
        <v>15058</v>
      </c>
      <c r="J962" s="10">
        <v>13961</v>
      </c>
      <c r="K962" s="10">
        <v>13961</v>
      </c>
      <c r="L962" s="10">
        <v>8253</v>
      </c>
      <c r="M962" s="10">
        <v>9188</v>
      </c>
      <c r="N962" s="10"/>
      <c r="O962" s="10"/>
      <c r="P962" s="10"/>
      <c r="Q962" s="10"/>
      <c r="R962" s="10"/>
      <c r="T962" s="10">
        <f t="shared" si="257"/>
        <v>15058</v>
      </c>
    </row>
    <row r="963" spans="2:20" x14ac:dyDescent="0.25">
      <c r="B963" s="97">
        <f t="shared" si="255"/>
        <v>175</v>
      </c>
      <c r="C963" s="9"/>
      <c r="D963" s="9"/>
      <c r="E963" s="9"/>
      <c r="F963" s="54" t="s">
        <v>511</v>
      </c>
      <c r="G963" s="126">
        <v>635</v>
      </c>
      <c r="H963" s="9" t="s">
        <v>320</v>
      </c>
      <c r="I963" s="10">
        <v>3150</v>
      </c>
      <c r="J963" s="10">
        <v>2000</v>
      </c>
      <c r="K963" s="10">
        <f>4000+600</f>
        <v>4600</v>
      </c>
      <c r="L963" s="10">
        <v>2265</v>
      </c>
      <c r="M963" s="10">
        <v>83</v>
      </c>
      <c r="N963" s="10"/>
      <c r="O963" s="10"/>
      <c r="P963" s="10"/>
      <c r="Q963" s="10"/>
      <c r="R963" s="10"/>
      <c r="T963" s="10">
        <f t="shared" si="257"/>
        <v>3150</v>
      </c>
    </row>
    <row r="964" spans="2:20" x14ac:dyDescent="0.25">
      <c r="B964" s="97">
        <f t="shared" si="255"/>
        <v>176</v>
      </c>
      <c r="C964" s="9"/>
      <c r="D964" s="9"/>
      <c r="E964" s="9"/>
      <c r="F964" s="54" t="s">
        <v>511</v>
      </c>
      <c r="G964" s="126">
        <v>637</v>
      </c>
      <c r="H964" s="9" t="s">
        <v>308</v>
      </c>
      <c r="I964" s="10">
        <v>3710</v>
      </c>
      <c r="J964" s="10">
        <v>3800</v>
      </c>
      <c r="K964" s="10">
        <v>3800</v>
      </c>
      <c r="L964" s="10">
        <v>3649</v>
      </c>
      <c r="M964" s="10">
        <v>3577</v>
      </c>
      <c r="N964" s="10"/>
      <c r="O964" s="10"/>
      <c r="P964" s="10"/>
      <c r="Q964" s="10"/>
      <c r="R964" s="10"/>
      <c r="T964" s="10">
        <f t="shared" si="257"/>
        <v>3710</v>
      </c>
    </row>
    <row r="965" spans="2:20" x14ac:dyDescent="0.25">
      <c r="B965" s="97">
        <f t="shared" si="255"/>
        <v>177</v>
      </c>
      <c r="C965" s="29"/>
      <c r="D965" s="29"/>
      <c r="E965" s="29"/>
      <c r="F965" s="53" t="s">
        <v>511</v>
      </c>
      <c r="G965" s="125">
        <v>640</v>
      </c>
      <c r="H965" s="29" t="s">
        <v>315</v>
      </c>
      <c r="I965" s="15">
        <v>0</v>
      </c>
      <c r="J965" s="15">
        <v>1540</v>
      </c>
      <c r="K965" s="15">
        <v>1540</v>
      </c>
      <c r="L965" s="15">
        <v>385</v>
      </c>
      <c r="M965" s="15">
        <v>291</v>
      </c>
      <c r="N965" s="15"/>
      <c r="O965" s="15"/>
      <c r="P965" s="15"/>
      <c r="Q965" s="15"/>
      <c r="R965" s="15"/>
      <c r="T965" s="15">
        <f t="shared" si="257"/>
        <v>0</v>
      </c>
    </row>
    <row r="966" spans="2:20" x14ac:dyDescent="0.25">
      <c r="B966" s="97">
        <f t="shared" si="255"/>
        <v>178</v>
      </c>
      <c r="C966" s="29"/>
      <c r="D966" s="29"/>
      <c r="E966" s="29"/>
      <c r="F966" s="53" t="s">
        <v>511</v>
      </c>
      <c r="G966" s="125">
        <v>710</v>
      </c>
      <c r="H966" s="29" t="s">
        <v>321</v>
      </c>
      <c r="I966" s="15"/>
      <c r="J966" s="15"/>
      <c r="K966" s="15"/>
      <c r="L966" s="15"/>
      <c r="M966" s="15"/>
      <c r="N966" s="15"/>
      <c r="O966" s="15">
        <f>O967+O968+O971</f>
        <v>50000</v>
      </c>
      <c r="P966" s="15">
        <f>P967+P968+P971</f>
        <v>41660</v>
      </c>
      <c r="Q966" s="15">
        <f t="shared" ref="Q966:R966" si="273">Q967+Q968+Q971</f>
        <v>1740</v>
      </c>
      <c r="R966" s="15">
        <f t="shared" si="273"/>
        <v>32901.79</v>
      </c>
      <c r="T966" s="15">
        <f t="shared" si="257"/>
        <v>0</v>
      </c>
    </row>
    <row r="967" spans="2:20" x14ac:dyDescent="0.25">
      <c r="B967" s="97">
        <f t="shared" si="255"/>
        <v>179</v>
      </c>
      <c r="C967" s="29"/>
      <c r="D967" s="29"/>
      <c r="E967" s="29"/>
      <c r="F967" s="53"/>
      <c r="G967" s="128">
        <v>713</v>
      </c>
      <c r="H967" s="56" t="s">
        <v>513</v>
      </c>
      <c r="I967" s="16"/>
      <c r="J967" s="16"/>
      <c r="K967" s="16"/>
      <c r="L967" s="16"/>
      <c r="M967" s="16"/>
      <c r="N967" s="16"/>
      <c r="O967" s="16"/>
      <c r="P967" s="16"/>
      <c r="Q967" s="16"/>
      <c r="R967" s="16">
        <v>3000</v>
      </c>
      <c r="T967" s="16">
        <f t="shared" si="257"/>
        <v>0</v>
      </c>
    </row>
    <row r="968" spans="2:20" x14ac:dyDescent="0.25">
      <c r="B968" s="97">
        <f t="shared" si="255"/>
        <v>180</v>
      </c>
      <c r="C968" s="9"/>
      <c r="D968" s="9"/>
      <c r="E968" s="9"/>
      <c r="F968" s="54" t="s">
        <v>511</v>
      </c>
      <c r="G968" s="126">
        <v>716</v>
      </c>
      <c r="H968" s="9" t="s">
        <v>323</v>
      </c>
      <c r="I968" s="10"/>
      <c r="J968" s="10"/>
      <c r="K968" s="10"/>
      <c r="L968" s="10"/>
      <c r="M968" s="10"/>
      <c r="N968" s="10"/>
      <c r="O968" s="10"/>
      <c r="P968" s="10">
        <f>P969+P970</f>
        <v>9660</v>
      </c>
      <c r="Q968" s="10">
        <f t="shared" ref="Q968" si="274">Q969+Q970</f>
        <v>1740</v>
      </c>
      <c r="R968" s="10"/>
      <c r="T968" s="10">
        <f t="shared" si="257"/>
        <v>0</v>
      </c>
    </row>
    <row r="969" spans="2:20" x14ac:dyDescent="0.25">
      <c r="B969" s="97">
        <f t="shared" si="255"/>
        <v>181</v>
      </c>
      <c r="C969" s="12"/>
      <c r="D969" s="12"/>
      <c r="E969" s="12"/>
      <c r="F969" s="12"/>
      <c r="G969" s="127"/>
      <c r="H969" s="12" t="s">
        <v>119</v>
      </c>
      <c r="I969" s="13"/>
      <c r="J969" s="13"/>
      <c r="K969" s="13"/>
      <c r="L969" s="13"/>
      <c r="M969" s="13"/>
      <c r="N969" s="13"/>
      <c r="O969" s="13"/>
      <c r="P969" s="13"/>
      <c r="Q969" s="13">
        <v>1740</v>
      </c>
      <c r="R969" s="13"/>
      <c r="T969" s="13">
        <f t="shared" si="257"/>
        <v>0</v>
      </c>
    </row>
    <row r="970" spans="2:20" x14ac:dyDescent="0.25">
      <c r="B970" s="97">
        <f t="shared" si="255"/>
        <v>182</v>
      </c>
      <c r="C970" s="12"/>
      <c r="D970" s="12"/>
      <c r="E970" s="12"/>
      <c r="F970" s="12"/>
      <c r="G970" s="127"/>
      <c r="H970" s="12" t="s">
        <v>518</v>
      </c>
      <c r="I970" s="13"/>
      <c r="J970" s="13"/>
      <c r="K970" s="13"/>
      <c r="L970" s="13"/>
      <c r="M970" s="13"/>
      <c r="N970" s="13"/>
      <c r="O970" s="13"/>
      <c r="P970" s="13">
        <v>9660</v>
      </c>
      <c r="Q970" s="13"/>
      <c r="R970" s="13"/>
      <c r="T970" s="13">
        <f t="shared" si="257"/>
        <v>0</v>
      </c>
    </row>
    <row r="971" spans="2:20" x14ac:dyDescent="0.25">
      <c r="B971" s="97">
        <f t="shared" si="255"/>
        <v>183</v>
      </c>
      <c r="C971" s="9"/>
      <c r="D971" s="9"/>
      <c r="E971" s="9"/>
      <c r="F971" s="54" t="s">
        <v>511</v>
      </c>
      <c r="G971" s="126">
        <v>717</v>
      </c>
      <c r="H971" s="9" t="s">
        <v>327</v>
      </c>
      <c r="I971" s="10"/>
      <c r="J971" s="10"/>
      <c r="K971" s="10"/>
      <c r="L971" s="10"/>
      <c r="M971" s="10"/>
      <c r="N971" s="10"/>
      <c r="O971" s="10">
        <f>O972+O973</f>
        <v>50000</v>
      </c>
      <c r="P971" s="10">
        <f>P972+P973</f>
        <v>32000</v>
      </c>
      <c r="Q971" s="10"/>
      <c r="R971" s="10">
        <f t="shared" ref="R971" si="275">R972+R973</f>
        <v>29901.79</v>
      </c>
      <c r="T971" s="10">
        <f t="shared" si="257"/>
        <v>0</v>
      </c>
    </row>
    <row r="972" spans="2:20" x14ac:dyDescent="0.25">
      <c r="B972" s="97">
        <f t="shared" si="255"/>
        <v>184</v>
      </c>
      <c r="C972" s="12"/>
      <c r="D972" s="12"/>
      <c r="E972" s="12"/>
      <c r="F972" s="12"/>
      <c r="G972" s="127"/>
      <c r="H972" s="12" t="s">
        <v>119</v>
      </c>
      <c r="I972" s="13"/>
      <c r="J972" s="13"/>
      <c r="K972" s="13"/>
      <c r="L972" s="13"/>
      <c r="M972" s="13"/>
      <c r="N972" s="13"/>
      <c r="O972" s="13"/>
      <c r="P972" s="13">
        <v>32000</v>
      </c>
      <c r="Q972" s="13"/>
      <c r="R972" s="13">
        <v>29901.79</v>
      </c>
      <c r="T972" s="13">
        <f t="shared" si="257"/>
        <v>0</v>
      </c>
    </row>
    <row r="973" spans="2:20" x14ac:dyDescent="0.25">
      <c r="B973" s="97">
        <f t="shared" si="255"/>
        <v>185</v>
      </c>
      <c r="C973" s="12"/>
      <c r="D973" s="12"/>
      <c r="E973" s="12"/>
      <c r="F973" s="12"/>
      <c r="G973" s="127"/>
      <c r="H973" s="12" t="s">
        <v>532</v>
      </c>
      <c r="I973" s="13"/>
      <c r="J973" s="13"/>
      <c r="K973" s="13"/>
      <c r="L973" s="13"/>
      <c r="M973" s="13"/>
      <c r="N973" s="13"/>
      <c r="O973" s="13">
        <v>50000</v>
      </c>
      <c r="P973" s="13"/>
      <c r="Q973" s="13"/>
      <c r="R973" s="13"/>
      <c r="T973" s="13">
        <f t="shared" si="257"/>
        <v>0</v>
      </c>
    </row>
    <row r="974" spans="2:20" x14ac:dyDescent="0.25">
      <c r="B974" s="97">
        <f t="shared" si="255"/>
        <v>186</v>
      </c>
      <c r="C974" s="51"/>
      <c r="D974" s="51"/>
      <c r="E974" s="51" t="s">
        <v>120</v>
      </c>
      <c r="F974" s="51"/>
      <c r="G974" s="124"/>
      <c r="H974" s="51" t="s">
        <v>121</v>
      </c>
      <c r="I974" s="52">
        <f>I975+I976+I977+I983</f>
        <v>256524</v>
      </c>
      <c r="J974" s="52">
        <f t="shared" ref="J974:M974" si="276">J975+J976+J977+J983</f>
        <v>231561</v>
      </c>
      <c r="K974" s="52">
        <f t="shared" si="276"/>
        <v>233561</v>
      </c>
      <c r="L974" s="52">
        <f t="shared" si="276"/>
        <v>223167</v>
      </c>
      <c r="M974" s="52">
        <f t="shared" si="276"/>
        <v>180294</v>
      </c>
      <c r="N974" s="52">
        <f>N984</f>
        <v>3500</v>
      </c>
      <c r="O974" s="52">
        <f t="shared" ref="O974:R974" si="277">O984</f>
        <v>0</v>
      </c>
      <c r="P974" s="52">
        <f t="shared" si="277"/>
        <v>9660</v>
      </c>
      <c r="Q974" s="52">
        <f t="shared" si="277"/>
        <v>23495</v>
      </c>
      <c r="R974" s="52">
        <f t="shared" si="277"/>
        <v>15083</v>
      </c>
      <c r="T974" s="52">
        <f t="shared" si="257"/>
        <v>260024</v>
      </c>
    </row>
    <row r="975" spans="2:20" x14ac:dyDescent="0.25">
      <c r="B975" s="97">
        <f t="shared" si="255"/>
        <v>187</v>
      </c>
      <c r="C975" s="29"/>
      <c r="D975" s="29"/>
      <c r="E975" s="29"/>
      <c r="F975" s="53" t="s">
        <v>511</v>
      </c>
      <c r="G975" s="125">
        <v>610</v>
      </c>
      <c r="H975" s="29" t="s">
        <v>338</v>
      </c>
      <c r="I975" s="15">
        <f>148588+1440</f>
        <v>150028</v>
      </c>
      <c r="J975" s="15">
        <v>139740</v>
      </c>
      <c r="K975" s="15">
        <v>139740</v>
      </c>
      <c r="L975" s="15">
        <v>127756</v>
      </c>
      <c r="M975" s="15">
        <v>103007</v>
      </c>
      <c r="N975" s="15"/>
      <c r="O975" s="15"/>
      <c r="P975" s="15"/>
      <c r="Q975" s="15"/>
      <c r="R975" s="15"/>
      <c r="T975" s="15">
        <f t="shared" si="257"/>
        <v>150028</v>
      </c>
    </row>
    <row r="976" spans="2:20" x14ac:dyDescent="0.25">
      <c r="B976" s="97">
        <f t="shared" si="255"/>
        <v>188</v>
      </c>
      <c r="C976" s="29"/>
      <c r="D976" s="29"/>
      <c r="E976" s="29"/>
      <c r="F976" s="53" t="s">
        <v>511</v>
      </c>
      <c r="G976" s="125">
        <v>620</v>
      </c>
      <c r="H976" s="29" t="s">
        <v>313</v>
      </c>
      <c r="I976" s="15">
        <f>55744+504</f>
        <v>56248</v>
      </c>
      <c r="J976" s="15">
        <v>52450</v>
      </c>
      <c r="K976" s="15">
        <v>52450</v>
      </c>
      <c r="L976" s="15">
        <v>46705</v>
      </c>
      <c r="M976" s="15">
        <v>37859</v>
      </c>
      <c r="N976" s="15"/>
      <c r="O976" s="15"/>
      <c r="P976" s="15"/>
      <c r="Q976" s="15"/>
      <c r="R976" s="15"/>
      <c r="T976" s="15">
        <f t="shared" si="257"/>
        <v>56248</v>
      </c>
    </row>
    <row r="977" spans="2:20" x14ac:dyDescent="0.25">
      <c r="B977" s="97">
        <f t="shared" si="255"/>
        <v>189</v>
      </c>
      <c r="C977" s="29"/>
      <c r="D977" s="29"/>
      <c r="E977" s="29"/>
      <c r="F977" s="53" t="s">
        <v>511</v>
      </c>
      <c r="G977" s="125">
        <v>630</v>
      </c>
      <c r="H977" s="29" t="s">
        <v>303</v>
      </c>
      <c r="I977" s="15">
        <f>I978+I979+I980+I981+I982</f>
        <v>48708</v>
      </c>
      <c r="J977" s="15">
        <f t="shared" ref="J977:L977" si="278">J982+J981+J980+J979</f>
        <v>37871</v>
      </c>
      <c r="K977" s="15">
        <f t="shared" si="278"/>
        <v>39871</v>
      </c>
      <c r="L977" s="15">
        <f t="shared" si="278"/>
        <v>48267</v>
      </c>
      <c r="M977" s="15">
        <f>M982+M981+M980+M979+M978</f>
        <v>38799</v>
      </c>
      <c r="N977" s="15"/>
      <c r="O977" s="15"/>
      <c r="P977" s="15"/>
      <c r="Q977" s="15"/>
      <c r="R977" s="15"/>
      <c r="T977" s="15">
        <f t="shared" si="257"/>
        <v>48708</v>
      </c>
    </row>
    <row r="978" spans="2:20" x14ac:dyDescent="0.25">
      <c r="B978" s="97">
        <f t="shared" si="255"/>
        <v>190</v>
      </c>
      <c r="C978" s="29"/>
      <c r="D978" s="29"/>
      <c r="E978" s="29"/>
      <c r="F978" s="54" t="s">
        <v>511</v>
      </c>
      <c r="G978" s="126">
        <v>631</v>
      </c>
      <c r="H978" s="9" t="s">
        <v>304</v>
      </c>
      <c r="I978" s="15">
        <v>0</v>
      </c>
      <c r="J978" s="15"/>
      <c r="K978" s="15"/>
      <c r="L978" s="15"/>
      <c r="M978" s="16">
        <v>7</v>
      </c>
      <c r="N978" s="15"/>
      <c r="O978" s="15"/>
      <c r="P978" s="15"/>
      <c r="Q978" s="15"/>
      <c r="R978" s="15"/>
      <c r="T978" s="15">
        <f t="shared" si="257"/>
        <v>0</v>
      </c>
    </row>
    <row r="979" spans="2:20" x14ac:dyDescent="0.25">
      <c r="B979" s="97">
        <f t="shared" si="255"/>
        <v>191</v>
      </c>
      <c r="C979" s="9"/>
      <c r="D979" s="9"/>
      <c r="E979" s="9"/>
      <c r="F979" s="54" t="s">
        <v>511</v>
      </c>
      <c r="G979" s="126">
        <v>632</v>
      </c>
      <c r="H979" s="9" t="s">
        <v>314</v>
      </c>
      <c r="I979" s="10">
        <v>28780</v>
      </c>
      <c r="J979" s="10">
        <v>21670</v>
      </c>
      <c r="K979" s="10">
        <v>21670</v>
      </c>
      <c r="L979" s="10">
        <v>29210</v>
      </c>
      <c r="M979" s="10">
        <v>18363</v>
      </c>
      <c r="N979" s="10"/>
      <c r="O979" s="10"/>
      <c r="P979" s="10"/>
      <c r="Q979" s="10"/>
      <c r="R979" s="10"/>
      <c r="T979" s="10">
        <f t="shared" si="257"/>
        <v>28780</v>
      </c>
    </row>
    <row r="980" spans="2:20" x14ac:dyDescent="0.25">
      <c r="B980" s="97">
        <f t="shared" si="255"/>
        <v>192</v>
      </c>
      <c r="C980" s="9"/>
      <c r="D980" s="9"/>
      <c r="E980" s="9"/>
      <c r="F980" s="54" t="s">
        <v>511</v>
      </c>
      <c r="G980" s="126">
        <v>633</v>
      </c>
      <c r="H980" s="9" t="s">
        <v>305</v>
      </c>
      <c r="I980" s="10">
        <v>12078</v>
      </c>
      <c r="J980" s="10">
        <v>10611</v>
      </c>
      <c r="K980" s="10">
        <v>10611</v>
      </c>
      <c r="L980" s="10">
        <v>13617</v>
      </c>
      <c r="M980" s="10">
        <v>15449</v>
      </c>
      <c r="N980" s="10"/>
      <c r="O980" s="10"/>
      <c r="P980" s="10"/>
      <c r="Q980" s="10"/>
      <c r="R980" s="10"/>
      <c r="T980" s="10">
        <f t="shared" si="257"/>
        <v>12078</v>
      </c>
    </row>
    <row r="981" spans="2:20" x14ac:dyDescent="0.25">
      <c r="B981" s="97">
        <f t="shared" si="255"/>
        <v>193</v>
      </c>
      <c r="C981" s="9"/>
      <c r="D981" s="9"/>
      <c r="E981" s="9"/>
      <c r="F981" s="54" t="s">
        <v>511</v>
      </c>
      <c r="G981" s="126">
        <v>635</v>
      </c>
      <c r="H981" s="9" t="s">
        <v>320</v>
      </c>
      <c r="I981" s="10">
        <v>3150</v>
      </c>
      <c r="J981" s="10">
        <v>150</v>
      </c>
      <c r="K981" s="10">
        <f>150+2000</f>
        <v>2150</v>
      </c>
      <c r="L981" s="10">
        <v>948</v>
      </c>
      <c r="M981" s="10">
        <v>84</v>
      </c>
      <c r="N981" s="10"/>
      <c r="O981" s="10"/>
      <c r="P981" s="10"/>
      <c r="Q981" s="10"/>
      <c r="R981" s="10"/>
      <c r="T981" s="10">
        <f t="shared" si="257"/>
        <v>3150</v>
      </c>
    </row>
    <row r="982" spans="2:20" x14ac:dyDescent="0.25">
      <c r="B982" s="97">
        <f t="shared" si="255"/>
        <v>194</v>
      </c>
      <c r="C982" s="9"/>
      <c r="D982" s="9"/>
      <c r="E982" s="9"/>
      <c r="F982" s="54" t="s">
        <v>511</v>
      </c>
      <c r="G982" s="126">
        <v>637</v>
      </c>
      <c r="H982" s="9" t="s">
        <v>308</v>
      </c>
      <c r="I982" s="10">
        <v>4700</v>
      </c>
      <c r="J982" s="10">
        <v>5440</v>
      </c>
      <c r="K982" s="10">
        <v>5440</v>
      </c>
      <c r="L982" s="10">
        <v>4492</v>
      </c>
      <c r="M982" s="10">
        <v>4896</v>
      </c>
      <c r="N982" s="10"/>
      <c r="O982" s="10"/>
      <c r="P982" s="10"/>
      <c r="Q982" s="10"/>
      <c r="R982" s="10"/>
      <c r="T982" s="10">
        <f t="shared" si="257"/>
        <v>4700</v>
      </c>
    </row>
    <row r="983" spans="2:20" x14ac:dyDescent="0.25">
      <c r="B983" s="97">
        <f t="shared" si="255"/>
        <v>195</v>
      </c>
      <c r="C983" s="29"/>
      <c r="D983" s="29"/>
      <c r="E983" s="29"/>
      <c r="F983" s="53" t="s">
        <v>511</v>
      </c>
      <c r="G983" s="125">
        <v>640</v>
      </c>
      <c r="H983" s="29" t="s">
        <v>315</v>
      </c>
      <c r="I983" s="15">
        <v>1540</v>
      </c>
      <c r="J983" s="15">
        <v>1500</v>
      </c>
      <c r="K983" s="15">
        <v>1500</v>
      </c>
      <c r="L983" s="15">
        <v>439</v>
      </c>
      <c r="M983" s="15">
        <v>629</v>
      </c>
      <c r="N983" s="15"/>
      <c r="O983" s="15"/>
      <c r="P983" s="15"/>
      <c r="Q983" s="15"/>
      <c r="R983" s="15"/>
      <c r="T983" s="15">
        <f t="shared" si="257"/>
        <v>1540</v>
      </c>
    </row>
    <row r="984" spans="2:20" x14ac:dyDescent="0.25">
      <c r="B984" s="97">
        <f t="shared" ref="B984:B1046" si="279">B983+1</f>
        <v>196</v>
      </c>
      <c r="C984" s="29"/>
      <c r="D984" s="29"/>
      <c r="E984" s="29"/>
      <c r="F984" s="53" t="s">
        <v>511</v>
      </c>
      <c r="G984" s="125">
        <v>710</v>
      </c>
      <c r="H984" s="29" t="s">
        <v>321</v>
      </c>
      <c r="I984" s="15"/>
      <c r="J984" s="15"/>
      <c r="K984" s="15"/>
      <c r="L984" s="15"/>
      <c r="M984" s="15"/>
      <c r="N984" s="15">
        <f>N985+N987</f>
        <v>3500</v>
      </c>
      <c r="O984" s="15"/>
      <c r="P984" s="15">
        <f t="shared" ref="P984:R984" si="280">P985+P987</f>
        <v>9660</v>
      </c>
      <c r="Q984" s="15">
        <f t="shared" si="280"/>
        <v>23495</v>
      </c>
      <c r="R984" s="15">
        <f t="shared" si="280"/>
        <v>15083</v>
      </c>
      <c r="T984" s="15">
        <f t="shared" ref="T984:T1047" si="281">I984+N984</f>
        <v>3500</v>
      </c>
    </row>
    <row r="985" spans="2:20" x14ac:dyDescent="0.25">
      <c r="B985" s="97">
        <f t="shared" si="279"/>
        <v>197</v>
      </c>
      <c r="C985" s="29"/>
      <c r="D985" s="29"/>
      <c r="E985" s="29"/>
      <c r="F985" s="54" t="s">
        <v>511</v>
      </c>
      <c r="G985" s="126">
        <v>716</v>
      </c>
      <c r="H985" s="9" t="s">
        <v>323</v>
      </c>
      <c r="I985" s="15"/>
      <c r="J985" s="15"/>
      <c r="K985" s="15"/>
      <c r="L985" s="15"/>
      <c r="M985" s="15"/>
      <c r="N985" s="15"/>
      <c r="O985" s="15"/>
      <c r="P985" s="15">
        <f t="shared" ref="P985" si="282">P986</f>
        <v>9660</v>
      </c>
      <c r="Q985" s="15"/>
      <c r="R985" s="15"/>
      <c r="T985" s="15">
        <f t="shared" si="281"/>
        <v>0</v>
      </c>
    </row>
    <row r="986" spans="2:20" x14ac:dyDescent="0.25">
      <c r="B986" s="97">
        <f t="shared" si="279"/>
        <v>198</v>
      </c>
      <c r="C986" s="12"/>
      <c r="D986" s="12"/>
      <c r="E986" s="12"/>
      <c r="F986" s="12"/>
      <c r="G986" s="127"/>
      <c r="H986" s="12" t="s">
        <v>517</v>
      </c>
      <c r="I986" s="13"/>
      <c r="J986" s="13"/>
      <c r="K986" s="13"/>
      <c r="L986" s="13"/>
      <c r="M986" s="13"/>
      <c r="N986" s="13"/>
      <c r="O986" s="13"/>
      <c r="P986" s="13">
        <v>9660</v>
      </c>
      <c r="Q986" s="13"/>
      <c r="R986" s="13"/>
      <c r="T986" s="13">
        <f t="shared" si="281"/>
        <v>0</v>
      </c>
    </row>
    <row r="987" spans="2:20" x14ac:dyDescent="0.25">
      <c r="B987" s="97">
        <f t="shared" si="279"/>
        <v>199</v>
      </c>
      <c r="C987" s="9"/>
      <c r="D987" s="9"/>
      <c r="E987" s="9"/>
      <c r="F987" s="54" t="s">
        <v>511</v>
      </c>
      <c r="G987" s="126">
        <v>717</v>
      </c>
      <c r="H987" s="9" t="s">
        <v>327</v>
      </c>
      <c r="I987" s="10"/>
      <c r="J987" s="10"/>
      <c r="K987" s="10"/>
      <c r="L987" s="10"/>
      <c r="M987" s="10"/>
      <c r="N987" s="10">
        <f>N988+N989</f>
        <v>3500</v>
      </c>
      <c r="O987" s="10"/>
      <c r="P987" s="10"/>
      <c r="Q987" s="10">
        <f t="shared" ref="Q987:R987" si="283">Q988+Q989</f>
        <v>23495</v>
      </c>
      <c r="R987" s="10">
        <f t="shared" si="283"/>
        <v>15083</v>
      </c>
      <c r="T987" s="10">
        <f t="shared" si="281"/>
        <v>3500</v>
      </c>
    </row>
    <row r="988" spans="2:20" x14ac:dyDescent="0.25">
      <c r="B988" s="97">
        <f t="shared" si="279"/>
        <v>200</v>
      </c>
      <c r="C988" s="12"/>
      <c r="D988" s="12"/>
      <c r="E988" s="12"/>
      <c r="F988" s="12"/>
      <c r="G988" s="127"/>
      <c r="H988" s="12" t="s">
        <v>892</v>
      </c>
      <c r="I988" s="13"/>
      <c r="J988" s="13"/>
      <c r="K988" s="13"/>
      <c r="L988" s="13"/>
      <c r="M988" s="13"/>
      <c r="N988" s="13">
        <v>3500</v>
      </c>
      <c r="O988" s="13"/>
      <c r="P988" s="13"/>
      <c r="Q988" s="13">
        <v>3959</v>
      </c>
      <c r="R988" s="13">
        <v>11283</v>
      </c>
      <c r="T988" s="13">
        <f t="shared" si="281"/>
        <v>3500</v>
      </c>
    </row>
    <row r="989" spans="2:20" x14ac:dyDescent="0.25">
      <c r="B989" s="97">
        <f t="shared" si="279"/>
        <v>201</v>
      </c>
      <c r="C989" s="12"/>
      <c r="D989" s="12"/>
      <c r="E989" s="12"/>
      <c r="F989" s="12"/>
      <c r="G989" s="127"/>
      <c r="H989" s="12" t="s">
        <v>526</v>
      </c>
      <c r="I989" s="13"/>
      <c r="J989" s="13"/>
      <c r="K989" s="13"/>
      <c r="L989" s="13"/>
      <c r="M989" s="13"/>
      <c r="N989" s="13"/>
      <c r="O989" s="13"/>
      <c r="P989" s="13"/>
      <c r="Q989" s="13">
        <v>19536</v>
      </c>
      <c r="R989" s="13">
        <v>3800</v>
      </c>
      <c r="T989" s="13">
        <f t="shared" si="281"/>
        <v>0</v>
      </c>
    </row>
    <row r="990" spans="2:20" x14ac:dyDescent="0.25">
      <c r="B990" s="97">
        <f t="shared" si="279"/>
        <v>202</v>
      </c>
      <c r="C990" s="51"/>
      <c r="D990" s="51"/>
      <c r="E990" s="51" t="s">
        <v>122</v>
      </c>
      <c r="F990" s="51"/>
      <c r="G990" s="124"/>
      <c r="H990" s="51" t="s">
        <v>123</v>
      </c>
      <c r="I990" s="52">
        <f>I991+I992+I993+I1000</f>
        <v>162890</v>
      </c>
      <c r="J990" s="52">
        <f t="shared" ref="J990:M990" si="284">J991+J992+J993+J1000</f>
        <v>147532</v>
      </c>
      <c r="K990" s="52">
        <f t="shared" si="284"/>
        <v>147532</v>
      </c>
      <c r="L990" s="52">
        <f t="shared" si="284"/>
        <v>138457</v>
      </c>
      <c r="M990" s="52">
        <f t="shared" si="284"/>
        <v>133892</v>
      </c>
      <c r="N990" s="52">
        <f>N1001</f>
        <v>0</v>
      </c>
      <c r="O990" s="52">
        <f t="shared" ref="O990:R990" si="285">O1001</f>
        <v>0</v>
      </c>
      <c r="P990" s="52">
        <f t="shared" si="285"/>
        <v>5500</v>
      </c>
      <c r="Q990" s="52">
        <f t="shared" si="285"/>
        <v>27970</v>
      </c>
      <c r="R990" s="52">
        <f t="shared" si="285"/>
        <v>1140</v>
      </c>
      <c r="T990" s="52">
        <f t="shared" si="281"/>
        <v>162890</v>
      </c>
    </row>
    <row r="991" spans="2:20" x14ac:dyDescent="0.25">
      <c r="B991" s="97">
        <f t="shared" si="279"/>
        <v>203</v>
      </c>
      <c r="C991" s="29"/>
      <c r="D991" s="29"/>
      <c r="E991" s="29"/>
      <c r="F991" s="53" t="s">
        <v>511</v>
      </c>
      <c r="G991" s="125">
        <v>610</v>
      </c>
      <c r="H991" s="29" t="s">
        <v>338</v>
      </c>
      <c r="I991" s="15">
        <f>96192+720</f>
        <v>96912</v>
      </c>
      <c r="J991" s="15">
        <v>89106</v>
      </c>
      <c r="K991" s="15">
        <v>89106</v>
      </c>
      <c r="L991" s="15">
        <v>82860</v>
      </c>
      <c r="M991" s="15">
        <v>75821</v>
      </c>
      <c r="N991" s="15"/>
      <c r="O991" s="15"/>
      <c r="P991" s="15"/>
      <c r="Q991" s="15"/>
      <c r="R991" s="15"/>
      <c r="T991" s="15">
        <f t="shared" si="281"/>
        <v>96912</v>
      </c>
    </row>
    <row r="992" spans="2:20" x14ac:dyDescent="0.25">
      <c r="B992" s="97">
        <f t="shared" si="279"/>
        <v>204</v>
      </c>
      <c r="C992" s="29"/>
      <c r="D992" s="29"/>
      <c r="E992" s="29"/>
      <c r="F992" s="53" t="s">
        <v>511</v>
      </c>
      <c r="G992" s="125">
        <v>620</v>
      </c>
      <c r="H992" s="29" t="s">
        <v>313</v>
      </c>
      <c r="I992" s="15">
        <f>35678+252</f>
        <v>35930</v>
      </c>
      <c r="J992" s="15">
        <v>33091</v>
      </c>
      <c r="K992" s="15">
        <v>33091</v>
      </c>
      <c r="L992" s="15">
        <v>30679</v>
      </c>
      <c r="M992" s="15">
        <v>27809</v>
      </c>
      <c r="N992" s="15"/>
      <c r="O992" s="15"/>
      <c r="P992" s="15"/>
      <c r="Q992" s="15"/>
      <c r="R992" s="15"/>
      <c r="T992" s="15">
        <f t="shared" si="281"/>
        <v>35930</v>
      </c>
    </row>
    <row r="993" spans="2:20" x14ac:dyDescent="0.25">
      <c r="B993" s="97">
        <f t="shared" si="279"/>
        <v>205</v>
      </c>
      <c r="C993" s="29"/>
      <c r="D993" s="29"/>
      <c r="E993" s="29"/>
      <c r="F993" s="53" t="s">
        <v>511</v>
      </c>
      <c r="G993" s="125">
        <v>630</v>
      </c>
      <c r="H993" s="29" t="s">
        <v>303</v>
      </c>
      <c r="I993" s="15">
        <f>I994+I995+I996+I997+I999+I998</f>
        <v>30048</v>
      </c>
      <c r="J993" s="15">
        <f t="shared" ref="J993:L993" si="286">J999+J997+J996+J995</f>
        <v>25335</v>
      </c>
      <c r="K993" s="15">
        <f t="shared" si="286"/>
        <v>25335</v>
      </c>
      <c r="L993" s="15">
        <f t="shared" si="286"/>
        <v>24742</v>
      </c>
      <c r="M993" s="15">
        <f>M999+M997+M996+M995+M994</f>
        <v>29892</v>
      </c>
      <c r="N993" s="15"/>
      <c r="O993" s="15"/>
      <c r="P993" s="15"/>
      <c r="Q993" s="15"/>
      <c r="R993" s="15"/>
      <c r="T993" s="15">
        <f t="shared" si="281"/>
        <v>30048</v>
      </c>
    </row>
    <row r="994" spans="2:20" x14ac:dyDescent="0.25">
      <c r="B994" s="97">
        <f t="shared" si="279"/>
        <v>206</v>
      </c>
      <c r="C994" s="29"/>
      <c r="D994" s="29"/>
      <c r="E994" s="29"/>
      <c r="F994" s="54" t="s">
        <v>511</v>
      </c>
      <c r="G994" s="126">
        <v>631</v>
      </c>
      <c r="H994" s="9" t="s">
        <v>304</v>
      </c>
      <c r="I994" s="15">
        <v>0</v>
      </c>
      <c r="J994" s="15"/>
      <c r="K994" s="15"/>
      <c r="L994" s="15"/>
      <c r="M994" s="16">
        <v>7</v>
      </c>
      <c r="N994" s="15"/>
      <c r="O994" s="15"/>
      <c r="P994" s="15"/>
      <c r="Q994" s="15"/>
      <c r="R994" s="15"/>
      <c r="T994" s="15">
        <f t="shared" si="281"/>
        <v>0</v>
      </c>
    </row>
    <row r="995" spans="2:20" x14ac:dyDescent="0.25">
      <c r="B995" s="97">
        <f t="shared" si="279"/>
        <v>207</v>
      </c>
      <c r="C995" s="9"/>
      <c r="D995" s="9"/>
      <c r="E995" s="9"/>
      <c r="F995" s="54" t="s">
        <v>511</v>
      </c>
      <c r="G995" s="126">
        <v>632</v>
      </c>
      <c r="H995" s="9" t="s">
        <v>314</v>
      </c>
      <c r="I995" s="10">
        <v>13640</v>
      </c>
      <c r="J995" s="10">
        <v>13500</v>
      </c>
      <c r="K995" s="10">
        <v>13500</v>
      </c>
      <c r="L995" s="10">
        <v>13528</v>
      </c>
      <c r="M995" s="10">
        <v>18940</v>
      </c>
      <c r="N995" s="10"/>
      <c r="O995" s="10"/>
      <c r="P995" s="10"/>
      <c r="Q995" s="10"/>
      <c r="R995" s="10"/>
      <c r="T995" s="10">
        <f t="shared" si="281"/>
        <v>13640</v>
      </c>
    </row>
    <row r="996" spans="2:20" x14ac:dyDescent="0.25">
      <c r="B996" s="97">
        <f t="shared" si="279"/>
        <v>208</v>
      </c>
      <c r="C996" s="9"/>
      <c r="D996" s="9"/>
      <c r="E996" s="9"/>
      <c r="F996" s="54" t="s">
        <v>511</v>
      </c>
      <c r="G996" s="126">
        <v>633</v>
      </c>
      <c r="H996" s="9" t="s">
        <v>305</v>
      </c>
      <c r="I996" s="10">
        <v>6468</v>
      </c>
      <c r="J996" s="10">
        <v>8925</v>
      </c>
      <c r="K996" s="10">
        <v>8925</v>
      </c>
      <c r="L996" s="10">
        <v>6991</v>
      </c>
      <c r="M996" s="10">
        <v>8394</v>
      </c>
      <c r="N996" s="10"/>
      <c r="O996" s="10"/>
      <c r="P996" s="10"/>
      <c r="Q996" s="10"/>
      <c r="R996" s="10"/>
      <c r="T996" s="10">
        <f t="shared" si="281"/>
        <v>6468</v>
      </c>
    </row>
    <row r="997" spans="2:20" x14ac:dyDescent="0.25">
      <c r="B997" s="97">
        <f t="shared" si="279"/>
        <v>209</v>
      </c>
      <c r="C997" s="9"/>
      <c r="D997" s="9"/>
      <c r="E997" s="9"/>
      <c r="F997" s="54" t="s">
        <v>511</v>
      </c>
      <c r="G997" s="126">
        <v>635</v>
      </c>
      <c r="H997" s="9" t="s">
        <v>320</v>
      </c>
      <c r="I997" s="10">
        <v>2000</v>
      </c>
      <c r="J997" s="10">
        <v>150</v>
      </c>
      <c r="K997" s="10">
        <v>150</v>
      </c>
      <c r="L997" s="10">
        <v>1440</v>
      </c>
      <c r="M997" s="10">
        <v>12</v>
      </c>
      <c r="N997" s="10"/>
      <c r="O997" s="10"/>
      <c r="P997" s="10"/>
      <c r="Q997" s="10"/>
      <c r="R997" s="10"/>
      <c r="T997" s="10">
        <f t="shared" si="281"/>
        <v>2000</v>
      </c>
    </row>
    <row r="998" spans="2:20" x14ac:dyDescent="0.25">
      <c r="B998" s="97">
        <f t="shared" si="279"/>
        <v>210</v>
      </c>
      <c r="C998" s="9"/>
      <c r="D998" s="9"/>
      <c r="E998" s="9"/>
      <c r="F998" s="54" t="s">
        <v>511</v>
      </c>
      <c r="G998" s="126">
        <v>635</v>
      </c>
      <c r="H998" s="9" t="s">
        <v>870</v>
      </c>
      <c r="I998" s="10">
        <v>5000</v>
      </c>
      <c r="J998" s="10"/>
      <c r="K998" s="10"/>
      <c r="L998" s="10"/>
      <c r="M998" s="10"/>
      <c r="N998" s="10"/>
      <c r="O998" s="10"/>
      <c r="P998" s="10"/>
      <c r="Q998" s="10"/>
      <c r="R998" s="10"/>
      <c r="T998" s="10">
        <f t="shared" si="281"/>
        <v>5000</v>
      </c>
    </row>
    <row r="999" spans="2:20" x14ac:dyDescent="0.25">
      <c r="B999" s="97">
        <f t="shared" si="279"/>
        <v>211</v>
      </c>
      <c r="C999" s="9"/>
      <c r="D999" s="9"/>
      <c r="E999" s="9"/>
      <c r="F999" s="54" t="s">
        <v>511</v>
      </c>
      <c r="G999" s="126">
        <v>637</v>
      </c>
      <c r="H999" s="9" t="s">
        <v>308</v>
      </c>
      <c r="I999" s="10">
        <v>2940</v>
      </c>
      <c r="J999" s="10">
        <v>2760</v>
      </c>
      <c r="K999" s="10">
        <v>2760</v>
      </c>
      <c r="L999" s="10">
        <v>2783</v>
      </c>
      <c r="M999" s="10">
        <v>2539</v>
      </c>
      <c r="N999" s="10"/>
      <c r="O999" s="10"/>
      <c r="P999" s="10"/>
      <c r="Q999" s="10"/>
      <c r="R999" s="10"/>
      <c r="T999" s="10">
        <f t="shared" si="281"/>
        <v>2940</v>
      </c>
    </row>
    <row r="1000" spans="2:20" x14ac:dyDescent="0.25">
      <c r="B1000" s="97">
        <f t="shared" si="279"/>
        <v>212</v>
      </c>
      <c r="C1000" s="29"/>
      <c r="D1000" s="29"/>
      <c r="E1000" s="29"/>
      <c r="F1000" s="53" t="s">
        <v>511</v>
      </c>
      <c r="G1000" s="125">
        <v>640</v>
      </c>
      <c r="H1000" s="29" t="s">
        <v>315</v>
      </c>
      <c r="I1000" s="15">
        <v>0</v>
      </c>
      <c r="J1000" s="15">
        <v>0</v>
      </c>
      <c r="K1000" s="15">
        <v>0</v>
      </c>
      <c r="L1000" s="15">
        <v>176</v>
      </c>
      <c r="M1000" s="15">
        <v>370</v>
      </c>
      <c r="N1000" s="15"/>
      <c r="O1000" s="15"/>
      <c r="P1000" s="15"/>
      <c r="Q1000" s="15"/>
      <c r="R1000" s="15"/>
      <c r="T1000" s="15">
        <f t="shared" si="281"/>
        <v>0</v>
      </c>
    </row>
    <row r="1001" spans="2:20" x14ac:dyDescent="0.25">
      <c r="B1001" s="97">
        <f t="shared" si="279"/>
        <v>213</v>
      </c>
      <c r="C1001" s="29"/>
      <c r="D1001" s="29"/>
      <c r="E1001" s="29"/>
      <c r="F1001" s="53" t="s">
        <v>511</v>
      </c>
      <c r="G1001" s="125">
        <v>710</v>
      </c>
      <c r="H1001" s="29" t="s">
        <v>321</v>
      </c>
      <c r="I1001" s="15"/>
      <c r="J1001" s="15"/>
      <c r="K1001" s="15"/>
      <c r="L1001" s="15"/>
      <c r="M1001" s="15"/>
      <c r="N1001" s="15"/>
      <c r="O1001" s="15"/>
      <c r="P1001" s="15">
        <f t="shared" ref="P1001:R1001" si="287">P1002+P1004</f>
        <v>5500</v>
      </c>
      <c r="Q1001" s="15">
        <f t="shared" si="287"/>
        <v>27970</v>
      </c>
      <c r="R1001" s="15">
        <f t="shared" si="287"/>
        <v>1140</v>
      </c>
      <c r="T1001" s="15">
        <f t="shared" si="281"/>
        <v>0</v>
      </c>
    </row>
    <row r="1002" spans="2:20" x14ac:dyDescent="0.25">
      <c r="B1002" s="97">
        <f t="shared" si="279"/>
        <v>214</v>
      </c>
      <c r="C1002" s="29"/>
      <c r="D1002" s="29"/>
      <c r="E1002" s="29"/>
      <c r="F1002" s="54" t="s">
        <v>511</v>
      </c>
      <c r="G1002" s="126">
        <v>716</v>
      </c>
      <c r="H1002" s="9" t="s">
        <v>323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>
        <f t="shared" ref="R1002" si="288">R1003</f>
        <v>1140</v>
      </c>
      <c r="T1002" s="15">
        <f t="shared" si="281"/>
        <v>0</v>
      </c>
    </row>
    <row r="1003" spans="2:20" x14ac:dyDescent="0.25">
      <c r="B1003" s="97">
        <f t="shared" si="279"/>
        <v>215</v>
      </c>
      <c r="C1003" s="12"/>
      <c r="D1003" s="12"/>
      <c r="E1003" s="12"/>
      <c r="F1003" s="12"/>
      <c r="G1003" s="127"/>
      <c r="H1003" s="12" t="s">
        <v>514</v>
      </c>
      <c r="I1003" s="13"/>
      <c r="J1003" s="13"/>
      <c r="K1003" s="13"/>
      <c r="L1003" s="13"/>
      <c r="M1003" s="13"/>
      <c r="N1003" s="13"/>
      <c r="O1003" s="13"/>
      <c r="P1003" s="13"/>
      <c r="Q1003" s="13"/>
      <c r="R1003" s="13">
        <v>1140</v>
      </c>
      <c r="T1003" s="13">
        <f t="shared" si="281"/>
        <v>0</v>
      </c>
    </row>
    <row r="1004" spans="2:20" x14ac:dyDescent="0.25">
      <c r="B1004" s="97">
        <f t="shared" si="279"/>
        <v>216</v>
      </c>
      <c r="C1004" s="29"/>
      <c r="D1004" s="29"/>
      <c r="E1004" s="29"/>
      <c r="F1004" s="54" t="s">
        <v>511</v>
      </c>
      <c r="G1004" s="126">
        <v>717</v>
      </c>
      <c r="H1004" s="9" t="s">
        <v>327</v>
      </c>
      <c r="I1004" s="15"/>
      <c r="J1004" s="15"/>
      <c r="K1004" s="15"/>
      <c r="L1004" s="15"/>
      <c r="M1004" s="15"/>
      <c r="N1004" s="15"/>
      <c r="O1004" s="15"/>
      <c r="P1004" s="15">
        <f t="shared" ref="P1004:Q1004" si="289">P1005+P1006</f>
        <v>5500</v>
      </c>
      <c r="Q1004" s="15">
        <f t="shared" si="289"/>
        <v>27970</v>
      </c>
      <c r="R1004" s="15"/>
      <c r="T1004" s="15">
        <f t="shared" si="281"/>
        <v>0</v>
      </c>
    </row>
    <row r="1005" spans="2:20" x14ac:dyDescent="0.25">
      <c r="B1005" s="97">
        <f t="shared" si="279"/>
        <v>217</v>
      </c>
      <c r="C1005" s="12"/>
      <c r="D1005" s="12"/>
      <c r="E1005" s="12"/>
      <c r="F1005" s="12"/>
      <c r="G1005" s="127"/>
      <c r="H1005" s="12" t="s">
        <v>514</v>
      </c>
      <c r="I1005" s="13"/>
      <c r="J1005" s="13"/>
      <c r="K1005" s="13"/>
      <c r="L1005" s="13"/>
      <c r="M1005" s="13"/>
      <c r="N1005" s="13"/>
      <c r="O1005" s="13"/>
      <c r="P1005" s="13"/>
      <c r="Q1005" s="13">
        <v>27970</v>
      </c>
      <c r="R1005" s="13"/>
      <c r="T1005" s="13">
        <f t="shared" si="281"/>
        <v>0</v>
      </c>
    </row>
    <row r="1006" spans="2:20" x14ac:dyDescent="0.25">
      <c r="B1006" s="97">
        <f t="shared" si="279"/>
        <v>218</v>
      </c>
      <c r="C1006" s="12"/>
      <c r="D1006" s="12"/>
      <c r="E1006" s="12"/>
      <c r="F1006" s="12"/>
      <c r="G1006" s="127"/>
      <c r="H1006" s="12" t="s">
        <v>527</v>
      </c>
      <c r="I1006" s="13"/>
      <c r="J1006" s="13"/>
      <c r="K1006" s="13"/>
      <c r="L1006" s="13"/>
      <c r="M1006" s="13"/>
      <c r="N1006" s="13"/>
      <c r="O1006" s="13"/>
      <c r="P1006" s="13">
        <v>5500</v>
      </c>
      <c r="Q1006" s="13"/>
      <c r="R1006" s="13"/>
      <c r="T1006" s="13">
        <f t="shared" si="281"/>
        <v>0</v>
      </c>
    </row>
    <row r="1007" spans="2:20" x14ac:dyDescent="0.25">
      <c r="B1007" s="97">
        <f t="shared" si="279"/>
        <v>219</v>
      </c>
      <c r="C1007" s="51"/>
      <c r="D1007" s="51"/>
      <c r="E1007" s="51" t="s">
        <v>124</v>
      </c>
      <c r="F1007" s="51"/>
      <c r="G1007" s="124"/>
      <c r="H1007" s="51" t="s">
        <v>125</v>
      </c>
      <c r="I1007" s="52">
        <f>I1008+I1009+I1010+I1016</f>
        <v>79188</v>
      </c>
      <c r="J1007" s="52">
        <f t="shared" ref="J1007:M1007" si="290">J1016+J1010+J1009+J1008</f>
        <v>73537</v>
      </c>
      <c r="K1007" s="52">
        <f t="shared" si="290"/>
        <v>73537</v>
      </c>
      <c r="L1007" s="52">
        <f t="shared" si="290"/>
        <v>67264</v>
      </c>
      <c r="M1007" s="52">
        <f t="shared" si="290"/>
        <v>60496</v>
      </c>
      <c r="N1007" s="52">
        <f>N1017</f>
        <v>0</v>
      </c>
      <c r="O1007" s="52">
        <f t="shared" ref="O1007:R1007" si="291">O1017</f>
        <v>0</v>
      </c>
      <c r="P1007" s="52">
        <f t="shared" si="291"/>
        <v>0</v>
      </c>
      <c r="Q1007" s="52">
        <f t="shared" si="291"/>
        <v>0</v>
      </c>
      <c r="R1007" s="52">
        <f t="shared" si="291"/>
        <v>10870</v>
      </c>
      <c r="T1007" s="52">
        <f t="shared" si="281"/>
        <v>79188</v>
      </c>
    </row>
    <row r="1008" spans="2:20" x14ac:dyDescent="0.25">
      <c r="B1008" s="97">
        <f t="shared" si="279"/>
        <v>220</v>
      </c>
      <c r="C1008" s="29"/>
      <c r="D1008" s="29"/>
      <c r="E1008" s="29"/>
      <c r="F1008" s="53" t="s">
        <v>511</v>
      </c>
      <c r="G1008" s="125">
        <v>610</v>
      </c>
      <c r="H1008" s="29" t="s">
        <v>338</v>
      </c>
      <c r="I1008" s="15">
        <f>47413+360</f>
        <v>47773</v>
      </c>
      <c r="J1008" s="15">
        <v>44478</v>
      </c>
      <c r="K1008" s="15">
        <v>44478</v>
      </c>
      <c r="L1008" s="15">
        <v>40529</v>
      </c>
      <c r="M1008" s="15">
        <v>37140</v>
      </c>
      <c r="N1008" s="15"/>
      <c r="O1008" s="15"/>
      <c r="P1008" s="15"/>
      <c r="Q1008" s="15"/>
      <c r="R1008" s="15"/>
      <c r="T1008" s="15">
        <f t="shared" si="281"/>
        <v>47773</v>
      </c>
    </row>
    <row r="1009" spans="2:20" x14ac:dyDescent="0.25">
      <c r="B1009" s="97">
        <f t="shared" si="279"/>
        <v>221</v>
      </c>
      <c r="C1009" s="29"/>
      <c r="D1009" s="29"/>
      <c r="E1009" s="29"/>
      <c r="F1009" s="53" t="s">
        <v>511</v>
      </c>
      <c r="G1009" s="125">
        <v>620</v>
      </c>
      <c r="H1009" s="29" t="s">
        <v>313</v>
      </c>
      <c r="I1009" s="15">
        <f>17590+126</f>
        <v>17716</v>
      </c>
      <c r="J1009" s="15">
        <v>16512</v>
      </c>
      <c r="K1009" s="15">
        <v>16512</v>
      </c>
      <c r="L1009" s="15">
        <v>14068</v>
      </c>
      <c r="M1009" s="15">
        <v>12895</v>
      </c>
      <c r="N1009" s="15"/>
      <c r="O1009" s="15"/>
      <c r="P1009" s="15"/>
      <c r="Q1009" s="15"/>
      <c r="R1009" s="15"/>
      <c r="T1009" s="15">
        <f t="shared" si="281"/>
        <v>17716</v>
      </c>
    </row>
    <row r="1010" spans="2:20" x14ac:dyDescent="0.25">
      <c r="B1010" s="97">
        <f t="shared" si="279"/>
        <v>222</v>
      </c>
      <c r="C1010" s="29"/>
      <c r="D1010" s="29"/>
      <c r="E1010" s="29"/>
      <c r="F1010" s="53" t="s">
        <v>511</v>
      </c>
      <c r="G1010" s="125">
        <v>630</v>
      </c>
      <c r="H1010" s="29" t="s">
        <v>303</v>
      </c>
      <c r="I1010" s="15">
        <f>I1011+I1012+I1013+I1014+I1015</f>
        <v>13699</v>
      </c>
      <c r="J1010" s="15">
        <f t="shared" ref="J1010:L1010" si="292">J1015+J1014+J1013+J1012</f>
        <v>12547</v>
      </c>
      <c r="K1010" s="15">
        <f t="shared" si="292"/>
        <v>12547</v>
      </c>
      <c r="L1010" s="15">
        <f t="shared" si="292"/>
        <v>12560</v>
      </c>
      <c r="M1010" s="15">
        <f>M1015+M1014+M1013+M1012+M1011</f>
        <v>10461</v>
      </c>
      <c r="N1010" s="15"/>
      <c r="O1010" s="15"/>
      <c r="P1010" s="15"/>
      <c r="Q1010" s="15"/>
      <c r="R1010" s="15"/>
      <c r="T1010" s="15">
        <f t="shared" si="281"/>
        <v>13699</v>
      </c>
    </row>
    <row r="1011" spans="2:20" x14ac:dyDescent="0.25">
      <c r="B1011" s="97">
        <f t="shared" si="279"/>
        <v>223</v>
      </c>
      <c r="C1011" s="29"/>
      <c r="D1011" s="29"/>
      <c r="E1011" s="29"/>
      <c r="F1011" s="54" t="s">
        <v>511</v>
      </c>
      <c r="G1011" s="126">
        <v>631</v>
      </c>
      <c r="H1011" s="9" t="s">
        <v>304</v>
      </c>
      <c r="I1011" s="15">
        <v>0</v>
      </c>
      <c r="J1011" s="15"/>
      <c r="K1011" s="15"/>
      <c r="L1011" s="15"/>
      <c r="M1011" s="16">
        <v>7</v>
      </c>
      <c r="N1011" s="15"/>
      <c r="O1011" s="15"/>
      <c r="P1011" s="15"/>
      <c r="Q1011" s="15"/>
      <c r="R1011" s="15"/>
      <c r="T1011" s="15">
        <f t="shared" si="281"/>
        <v>0</v>
      </c>
    </row>
    <row r="1012" spans="2:20" x14ac:dyDescent="0.25">
      <c r="B1012" s="97">
        <f t="shared" si="279"/>
        <v>224</v>
      </c>
      <c r="C1012" s="9"/>
      <c r="D1012" s="9"/>
      <c r="E1012" s="9"/>
      <c r="F1012" s="54" t="s">
        <v>511</v>
      </c>
      <c r="G1012" s="126">
        <v>632</v>
      </c>
      <c r="H1012" s="9" t="s">
        <v>314</v>
      </c>
      <c r="I1012" s="10">
        <v>6700</v>
      </c>
      <c r="J1012" s="10">
        <v>6240</v>
      </c>
      <c r="K1012" s="10">
        <v>6240</v>
      </c>
      <c r="L1012" s="10">
        <v>7325</v>
      </c>
      <c r="M1012" s="10">
        <v>4937</v>
      </c>
      <c r="N1012" s="10"/>
      <c r="O1012" s="10"/>
      <c r="P1012" s="10"/>
      <c r="Q1012" s="10"/>
      <c r="R1012" s="10"/>
      <c r="T1012" s="10">
        <f t="shared" si="281"/>
        <v>6700</v>
      </c>
    </row>
    <row r="1013" spans="2:20" x14ac:dyDescent="0.25">
      <c r="B1013" s="97">
        <f t="shared" si="279"/>
        <v>225</v>
      </c>
      <c r="C1013" s="9"/>
      <c r="D1013" s="9"/>
      <c r="E1013" s="9"/>
      <c r="F1013" s="54" t="s">
        <v>511</v>
      </c>
      <c r="G1013" s="126">
        <v>633</v>
      </c>
      <c r="H1013" s="9" t="s">
        <v>305</v>
      </c>
      <c r="I1013" s="10">
        <v>4059</v>
      </c>
      <c r="J1013" s="10">
        <v>4487</v>
      </c>
      <c r="K1013" s="10">
        <v>4487</v>
      </c>
      <c r="L1013" s="10">
        <v>3506</v>
      </c>
      <c r="M1013" s="10">
        <v>4003</v>
      </c>
      <c r="N1013" s="10"/>
      <c r="O1013" s="10"/>
      <c r="P1013" s="10"/>
      <c r="Q1013" s="10"/>
      <c r="R1013" s="10"/>
      <c r="T1013" s="10">
        <f t="shared" si="281"/>
        <v>4059</v>
      </c>
    </row>
    <row r="1014" spans="2:20" x14ac:dyDescent="0.25">
      <c r="B1014" s="97">
        <f t="shared" si="279"/>
        <v>226</v>
      </c>
      <c r="C1014" s="9"/>
      <c r="D1014" s="9"/>
      <c r="E1014" s="9"/>
      <c r="F1014" s="54" t="s">
        <v>511</v>
      </c>
      <c r="G1014" s="126">
        <v>635</v>
      </c>
      <c r="H1014" s="9" t="s">
        <v>320</v>
      </c>
      <c r="I1014" s="10">
        <v>1100</v>
      </c>
      <c r="J1014" s="10">
        <v>150</v>
      </c>
      <c r="K1014" s="10">
        <v>150</v>
      </c>
      <c r="L1014" s="10">
        <v>8</v>
      </c>
      <c r="M1014" s="10">
        <v>0</v>
      </c>
      <c r="N1014" s="10"/>
      <c r="O1014" s="10"/>
      <c r="P1014" s="10"/>
      <c r="Q1014" s="10"/>
      <c r="R1014" s="10"/>
      <c r="T1014" s="10">
        <f t="shared" si="281"/>
        <v>1100</v>
      </c>
    </row>
    <row r="1015" spans="2:20" x14ac:dyDescent="0.25">
      <c r="B1015" s="97">
        <f t="shared" si="279"/>
        <v>227</v>
      </c>
      <c r="C1015" s="9"/>
      <c r="D1015" s="9"/>
      <c r="E1015" s="9"/>
      <c r="F1015" s="54" t="s">
        <v>511</v>
      </c>
      <c r="G1015" s="126">
        <v>637</v>
      </c>
      <c r="H1015" s="9" t="s">
        <v>308</v>
      </c>
      <c r="I1015" s="10">
        <v>1840</v>
      </c>
      <c r="J1015" s="10">
        <v>1670</v>
      </c>
      <c r="K1015" s="10">
        <v>1670</v>
      </c>
      <c r="L1015" s="10">
        <v>1721</v>
      </c>
      <c r="M1015" s="10">
        <v>1514</v>
      </c>
      <c r="N1015" s="10"/>
      <c r="O1015" s="10"/>
      <c r="P1015" s="10"/>
      <c r="Q1015" s="10"/>
      <c r="R1015" s="10"/>
      <c r="T1015" s="10">
        <f t="shared" si="281"/>
        <v>1840</v>
      </c>
    </row>
    <row r="1016" spans="2:20" x14ac:dyDescent="0.25">
      <c r="B1016" s="97">
        <f t="shared" si="279"/>
        <v>228</v>
      </c>
      <c r="C1016" s="29"/>
      <c r="D1016" s="29"/>
      <c r="E1016" s="29"/>
      <c r="F1016" s="53" t="s">
        <v>511</v>
      </c>
      <c r="G1016" s="125">
        <v>640</v>
      </c>
      <c r="H1016" s="29" t="s">
        <v>315</v>
      </c>
      <c r="I1016" s="15">
        <v>0</v>
      </c>
      <c r="J1016" s="15">
        <v>0</v>
      </c>
      <c r="K1016" s="15">
        <v>0</v>
      </c>
      <c r="L1016" s="15">
        <v>107</v>
      </c>
      <c r="M1016" s="15">
        <v>0</v>
      </c>
      <c r="N1016" s="15"/>
      <c r="O1016" s="15"/>
      <c r="P1016" s="15"/>
      <c r="Q1016" s="15"/>
      <c r="R1016" s="15"/>
      <c r="T1016" s="15">
        <f t="shared" si="281"/>
        <v>0</v>
      </c>
    </row>
    <row r="1017" spans="2:20" x14ac:dyDescent="0.25">
      <c r="B1017" s="97">
        <f t="shared" si="279"/>
        <v>229</v>
      </c>
      <c r="C1017" s="29"/>
      <c r="D1017" s="29"/>
      <c r="E1017" s="29"/>
      <c r="F1017" s="53" t="s">
        <v>511</v>
      </c>
      <c r="G1017" s="125">
        <v>710</v>
      </c>
      <c r="H1017" s="29" t="s">
        <v>321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>
        <f t="shared" ref="R1017" si="293">R1018</f>
        <v>10870</v>
      </c>
      <c r="T1017" s="15">
        <f t="shared" si="281"/>
        <v>0</v>
      </c>
    </row>
    <row r="1018" spans="2:20" x14ac:dyDescent="0.25">
      <c r="B1018" s="97">
        <f t="shared" si="279"/>
        <v>230</v>
      </c>
      <c r="C1018" s="29"/>
      <c r="D1018" s="29"/>
      <c r="E1018" s="29"/>
      <c r="F1018" s="54" t="s">
        <v>511</v>
      </c>
      <c r="G1018" s="126">
        <v>717</v>
      </c>
      <c r="H1018" s="9" t="s">
        <v>327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>
        <f t="shared" ref="R1018" si="294">R1019</f>
        <v>10870</v>
      </c>
      <c r="T1018" s="15">
        <f t="shared" si="281"/>
        <v>0</v>
      </c>
    </row>
    <row r="1019" spans="2:20" x14ac:dyDescent="0.25">
      <c r="B1019" s="97">
        <f t="shared" si="279"/>
        <v>231</v>
      </c>
      <c r="C1019" s="12"/>
      <c r="D1019" s="12"/>
      <c r="E1019" s="12"/>
      <c r="F1019" s="12"/>
      <c r="G1019" s="127"/>
      <c r="H1019" s="12" t="s">
        <v>125</v>
      </c>
      <c r="I1019" s="13"/>
      <c r="J1019" s="13"/>
      <c r="K1019" s="13"/>
      <c r="L1019" s="13"/>
      <c r="M1019" s="13"/>
      <c r="N1019" s="13"/>
      <c r="O1019" s="13"/>
      <c r="P1019" s="13"/>
      <c r="Q1019" s="13"/>
      <c r="R1019" s="13">
        <v>10870</v>
      </c>
      <c r="T1019" s="13">
        <f t="shared" si="281"/>
        <v>0</v>
      </c>
    </row>
    <row r="1020" spans="2:20" x14ac:dyDescent="0.25">
      <c r="B1020" s="97">
        <f t="shared" si="279"/>
        <v>232</v>
      </c>
      <c r="C1020" s="51"/>
      <c r="D1020" s="51"/>
      <c r="E1020" s="51" t="s">
        <v>126</v>
      </c>
      <c r="F1020" s="51"/>
      <c r="G1020" s="124"/>
      <c r="H1020" s="51" t="s">
        <v>127</v>
      </c>
      <c r="I1020" s="52">
        <f>I1021+I1022+I1023+I1030</f>
        <v>110310</v>
      </c>
      <c r="J1020" s="52">
        <f t="shared" ref="J1020:M1020" si="295">J1021+J1022+J1023+J1030</f>
        <v>103498</v>
      </c>
      <c r="K1020" s="52">
        <f t="shared" si="295"/>
        <v>107998</v>
      </c>
      <c r="L1020" s="52">
        <f t="shared" si="295"/>
        <v>90682</v>
      </c>
      <c r="M1020" s="52">
        <f t="shared" si="295"/>
        <v>84631</v>
      </c>
      <c r="N1020" s="52">
        <f>N1031</f>
        <v>0</v>
      </c>
      <c r="O1020" s="52">
        <f t="shared" ref="O1020:R1020" si="296">O1031</f>
        <v>0</v>
      </c>
      <c r="P1020" s="52">
        <f t="shared" si="296"/>
        <v>0</v>
      </c>
      <c r="Q1020" s="52">
        <f t="shared" si="296"/>
        <v>0</v>
      </c>
      <c r="R1020" s="52">
        <f t="shared" si="296"/>
        <v>28500</v>
      </c>
      <c r="T1020" s="52">
        <f t="shared" si="281"/>
        <v>110310</v>
      </c>
    </row>
    <row r="1021" spans="2:20" x14ac:dyDescent="0.25">
      <c r="B1021" s="97">
        <f t="shared" si="279"/>
        <v>233</v>
      </c>
      <c r="C1021" s="29"/>
      <c r="D1021" s="29"/>
      <c r="E1021" s="29"/>
      <c r="F1021" s="53" t="s">
        <v>511</v>
      </c>
      <c r="G1021" s="125">
        <v>610</v>
      </c>
      <c r="H1021" s="29" t="s">
        <v>338</v>
      </c>
      <c r="I1021" s="15">
        <f>64330+540</f>
        <v>64870</v>
      </c>
      <c r="J1021" s="15">
        <v>60370</v>
      </c>
      <c r="K1021" s="15">
        <v>60370</v>
      </c>
      <c r="L1021" s="15">
        <v>56048</v>
      </c>
      <c r="M1021" s="15">
        <v>49221</v>
      </c>
      <c r="N1021" s="15"/>
      <c r="O1021" s="15"/>
      <c r="P1021" s="15"/>
      <c r="Q1021" s="15"/>
      <c r="R1021" s="15"/>
      <c r="T1021" s="15">
        <f t="shared" si="281"/>
        <v>64870</v>
      </c>
    </row>
    <row r="1022" spans="2:20" x14ac:dyDescent="0.25">
      <c r="B1022" s="97">
        <f t="shared" si="279"/>
        <v>234</v>
      </c>
      <c r="C1022" s="29"/>
      <c r="D1022" s="29"/>
      <c r="E1022" s="29"/>
      <c r="F1022" s="53" t="s">
        <v>511</v>
      </c>
      <c r="G1022" s="125">
        <v>620</v>
      </c>
      <c r="H1022" s="29" t="s">
        <v>313</v>
      </c>
      <c r="I1022" s="15">
        <f>23870+189</f>
        <v>24059</v>
      </c>
      <c r="J1022" s="15">
        <v>22415</v>
      </c>
      <c r="K1022" s="15">
        <v>22415</v>
      </c>
      <c r="L1022" s="15">
        <v>20876</v>
      </c>
      <c r="M1022" s="15">
        <v>18219</v>
      </c>
      <c r="N1022" s="15"/>
      <c r="O1022" s="15"/>
      <c r="P1022" s="15"/>
      <c r="Q1022" s="15"/>
      <c r="R1022" s="15"/>
      <c r="T1022" s="15">
        <f t="shared" si="281"/>
        <v>24059</v>
      </c>
    </row>
    <row r="1023" spans="2:20" x14ac:dyDescent="0.25">
      <c r="B1023" s="97">
        <f t="shared" si="279"/>
        <v>235</v>
      </c>
      <c r="C1023" s="29"/>
      <c r="D1023" s="29"/>
      <c r="E1023" s="29"/>
      <c r="F1023" s="53" t="s">
        <v>511</v>
      </c>
      <c r="G1023" s="125">
        <v>630</v>
      </c>
      <c r="H1023" s="29" t="s">
        <v>303</v>
      </c>
      <c r="I1023" s="15">
        <f>I1024+I1025+I1026+I1027+I1029+I1028</f>
        <v>21381</v>
      </c>
      <c r="J1023" s="15">
        <f t="shared" ref="J1023:L1023" si="297">J1029+J1027+J1026+J1025</f>
        <v>20713</v>
      </c>
      <c r="K1023" s="15">
        <f t="shared" si="297"/>
        <v>25213</v>
      </c>
      <c r="L1023" s="15">
        <f t="shared" si="297"/>
        <v>13638</v>
      </c>
      <c r="M1023" s="15">
        <f>M1029+M1027+M1026+M1025+M1024</f>
        <v>17051</v>
      </c>
      <c r="N1023" s="15"/>
      <c r="O1023" s="15"/>
      <c r="P1023" s="15"/>
      <c r="Q1023" s="15"/>
      <c r="R1023" s="15"/>
      <c r="T1023" s="15">
        <f t="shared" si="281"/>
        <v>21381</v>
      </c>
    </row>
    <row r="1024" spans="2:20" x14ac:dyDescent="0.25">
      <c r="B1024" s="97">
        <f t="shared" si="279"/>
        <v>236</v>
      </c>
      <c r="C1024" s="29"/>
      <c r="D1024" s="29"/>
      <c r="E1024" s="29"/>
      <c r="F1024" s="54" t="s">
        <v>511</v>
      </c>
      <c r="G1024" s="126">
        <v>631</v>
      </c>
      <c r="H1024" s="9" t="s">
        <v>304</v>
      </c>
      <c r="I1024" s="15">
        <v>0</v>
      </c>
      <c r="J1024" s="15"/>
      <c r="K1024" s="15"/>
      <c r="L1024" s="15"/>
      <c r="M1024" s="16">
        <v>7</v>
      </c>
      <c r="N1024" s="15"/>
      <c r="O1024" s="15"/>
      <c r="P1024" s="15"/>
      <c r="Q1024" s="15"/>
      <c r="R1024" s="15"/>
      <c r="T1024" s="15">
        <f t="shared" si="281"/>
        <v>0</v>
      </c>
    </row>
    <row r="1025" spans="2:20" x14ac:dyDescent="0.25">
      <c r="B1025" s="97">
        <f t="shared" si="279"/>
        <v>237</v>
      </c>
      <c r="C1025" s="9"/>
      <c r="D1025" s="9"/>
      <c r="E1025" s="9"/>
      <c r="F1025" s="54" t="s">
        <v>511</v>
      </c>
      <c r="G1025" s="126">
        <v>632</v>
      </c>
      <c r="H1025" s="9" t="s">
        <v>314</v>
      </c>
      <c r="I1025" s="10">
        <v>8020</v>
      </c>
      <c r="J1025" s="10">
        <v>6370</v>
      </c>
      <c r="K1025" s="10">
        <v>6370</v>
      </c>
      <c r="L1025" s="10">
        <v>5302</v>
      </c>
      <c r="M1025" s="10">
        <v>10632</v>
      </c>
      <c r="N1025" s="10"/>
      <c r="O1025" s="10"/>
      <c r="P1025" s="10"/>
      <c r="Q1025" s="10"/>
      <c r="R1025" s="10"/>
      <c r="T1025" s="10">
        <f t="shared" si="281"/>
        <v>8020</v>
      </c>
    </row>
    <row r="1026" spans="2:20" x14ac:dyDescent="0.25">
      <c r="B1026" s="97">
        <f t="shared" si="279"/>
        <v>238</v>
      </c>
      <c r="C1026" s="9"/>
      <c r="D1026" s="9"/>
      <c r="E1026" s="9"/>
      <c r="F1026" s="54" t="s">
        <v>511</v>
      </c>
      <c r="G1026" s="126">
        <v>633</v>
      </c>
      <c r="H1026" s="9" t="s">
        <v>305</v>
      </c>
      <c r="I1026" s="10">
        <v>4681</v>
      </c>
      <c r="J1026" s="10">
        <v>11213</v>
      </c>
      <c r="K1026" s="10">
        <f>11213+4500</f>
        <v>15713</v>
      </c>
      <c r="L1026" s="10">
        <v>4732</v>
      </c>
      <c r="M1026" s="10">
        <v>4328</v>
      </c>
      <c r="N1026" s="10"/>
      <c r="O1026" s="10"/>
      <c r="P1026" s="10"/>
      <c r="Q1026" s="10"/>
      <c r="R1026" s="10"/>
      <c r="T1026" s="10">
        <f t="shared" si="281"/>
        <v>4681</v>
      </c>
    </row>
    <row r="1027" spans="2:20" x14ac:dyDescent="0.25">
      <c r="B1027" s="97">
        <f t="shared" si="279"/>
        <v>239</v>
      </c>
      <c r="C1027" s="9"/>
      <c r="D1027" s="9"/>
      <c r="E1027" s="9"/>
      <c r="F1027" s="54" t="s">
        <v>511</v>
      </c>
      <c r="G1027" s="126">
        <v>635</v>
      </c>
      <c r="H1027" s="9" t="s">
        <v>320</v>
      </c>
      <c r="I1027" s="10">
        <v>3300</v>
      </c>
      <c r="J1027" s="10">
        <v>950</v>
      </c>
      <c r="K1027" s="10">
        <v>950</v>
      </c>
      <c r="L1027" s="10">
        <v>1255</v>
      </c>
      <c r="M1027" s="10">
        <v>65</v>
      </c>
      <c r="N1027" s="10"/>
      <c r="O1027" s="10"/>
      <c r="P1027" s="10"/>
      <c r="Q1027" s="10"/>
      <c r="R1027" s="10"/>
      <c r="T1027" s="10">
        <f t="shared" si="281"/>
        <v>3300</v>
      </c>
    </row>
    <row r="1028" spans="2:20" x14ac:dyDescent="0.25">
      <c r="B1028" s="97">
        <f t="shared" si="279"/>
        <v>240</v>
      </c>
      <c r="C1028" s="9"/>
      <c r="D1028" s="9"/>
      <c r="E1028" s="9"/>
      <c r="F1028" s="54" t="s">
        <v>511</v>
      </c>
      <c r="G1028" s="126">
        <v>635</v>
      </c>
      <c r="H1028" s="9" t="s">
        <v>893</v>
      </c>
      <c r="I1028" s="10">
        <v>3000</v>
      </c>
      <c r="J1028" s="10"/>
      <c r="K1028" s="10"/>
      <c r="L1028" s="10"/>
      <c r="M1028" s="10"/>
      <c r="N1028" s="10"/>
      <c r="O1028" s="10"/>
      <c r="P1028" s="10"/>
      <c r="Q1028" s="10"/>
      <c r="R1028" s="10"/>
      <c r="T1028" s="10">
        <f t="shared" si="281"/>
        <v>3000</v>
      </c>
    </row>
    <row r="1029" spans="2:20" x14ac:dyDescent="0.25">
      <c r="B1029" s="97">
        <f t="shared" si="279"/>
        <v>241</v>
      </c>
      <c r="C1029" s="9"/>
      <c r="D1029" s="9"/>
      <c r="E1029" s="9"/>
      <c r="F1029" s="54" t="s">
        <v>511</v>
      </c>
      <c r="G1029" s="126">
        <v>637</v>
      </c>
      <c r="H1029" s="9" t="s">
        <v>308</v>
      </c>
      <c r="I1029" s="10">
        <v>2380</v>
      </c>
      <c r="J1029" s="10">
        <v>2180</v>
      </c>
      <c r="K1029" s="10">
        <v>2180</v>
      </c>
      <c r="L1029" s="10">
        <v>2349</v>
      </c>
      <c r="M1029" s="10">
        <v>2019</v>
      </c>
      <c r="N1029" s="10"/>
      <c r="O1029" s="10"/>
      <c r="P1029" s="10"/>
      <c r="Q1029" s="10"/>
      <c r="R1029" s="10"/>
      <c r="T1029" s="10">
        <f t="shared" si="281"/>
        <v>2380</v>
      </c>
    </row>
    <row r="1030" spans="2:20" x14ac:dyDescent="0.25">
      <c r="B1030" s="97">
        <f t="shared" si="279"/>
        <v>242</v>
      </c>
      <c r="C1030" s="29"/>
      <c r="D1030" s="29"/>
      <c r="E1030" s="29"/>
      <c r="F1030" s="53" t="s">
        <v>511</v>
      </c>
      <c r="G1030" s="125">
        <v>640</v>
      </c>
      <c r="H1030" s="29" t="s">
        <v>315</v>
      </c>
      <c r="I1030" s="15">
        <v>0</v>
      </c>
      <c r="J1030" s="15">
        <v>0</v>
      </c>
      <c r="K1030" s="15">
        <v>0</v>
      </c>
      <c r="L1030" s="15">
        <v>120</v>
      </c>
      <c r="M1030" s="15">
        <v>140</v>
      </c>
      <c r="N1030" s="15"/>
      <c r="O1030" s="15"/>
      <c r="P1030" s="15"/>
      <c r="Q1030" s="15"/>
      <c r="R1030" s="15"/>
      <c r="T1030" s="15">
        <f t="shared" si="281"/>
        <v>0</v>
      </c>
    </row>
    <row r="1031" spans="2:20" x14ac:dyDescent="0.25">
      <c r="B1031" s="97">
        <f t="shared" si="279"/>
        <v>243</v>
      </c>
      <c r="C1031" s="29"/>
      <c r="D1031" s="29"/>
      <c r="E1031" s="29"/>
      <c r="F1031" s="53" t="s">
        <v>511</v>
      </c>
      <c r="G1031" s="125">
        <v>710</v>
      </c>
      <c r="H1031" s="29" t="s">
        <v>321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>
        <f t="shared" ref="R1031" si="298">R1032</f>
        <v>28500</v>
      </c>
      <c r="T1031" s="15">
        <f t="shared" si="281"/>
        <v>0</v>
      </c>
    </row>
    <row r="1032" spans="2:20" x14ac:dyDescent="0.25">
      <c r="B1032" s="97">
        <f t="shared" si="279"/>
        <v>244</v>
      </c>
      <c r="C1032" s="9"/>
      <c r="D1032" s="9"/>
      <c r="E1032" s="9"/>
      <c r="F1032" s="54" t="s">
        <v>511</v>
      </c>
      <c r="G1032" s="126">
        <v>717</v>
      </c>
      <c r="H1032" s="9" t="s">
        <v>327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>
        <v>28500</v>
      </c>
      <c r="T1032" s="10">
        <f t="shared" si="281"/>
        <v>0</v>
      </c>
    </row>
    <row r="1033" spans="2:20" x14ac:dyDescent="0.25">
      <c r="B1033" s="97">
        <f t="shared" si="279"/>
        <v>245</v>
      </c>
      <c r="C1033" s="51"/>
      <c r="D1033" s="51"/>
      <c r="E1033" s="51" t="s">
        <v>128</v>
      </c>
      <c r="F1033" s="51"/>
      <c r="G1033" s="124"/>
      <c r="H1033" s="51" t="s">
        <v>129</v>
      </c>
      <c r="I1033" s="52">
        <f>I1034+I1035+I1036+I1043</f>
        <v>89708</v>
      </c>
      <c r="J1033" s="52">
        <f t="shared" ref="J1033:M1033" si="299">J1034+J1035+J1036+J1043</f>
        <v>84604</v>
      </c>
      <c r="K1033" s="52">
        <f t="shared" si="299"/>
        <v>86204</v>
      </c>
      <c r="L1033" s="52">
        <f t="shared" si="299"/>
        <v>84777</v>
      </c>
      <c r="M1033" s="52">
        <f t="shared" si="299"/>
        <v>70305</v>
      </c>
      <c r="N1033" s="52">
        <f>N1044</f>
        <v>10000</v>
      </c>
      <c r="O1033" s="52">
        <f t="shared" ref="O1033:R1033" si="300">O1044</f>
        <v>10000</v>
      </c>
      <c r="P1033" s="52">
        <f t="shared" si="300"/>
        <v>10000</v>
      </c>
      <c r="Q1033" s="52">
        <f t="shared" si="300"/>
        <v>0</v>
      </c>
      <c r="R1033" s="52">
        <f t="shared" si="300"/>
        <v>0</v>
      </c>
      <c r="T1033" s="52">
        <f t="shared" si="281"/>
        <v>99708</v>
      </c>
    </row>
    <row r="1034" spans="2:20" x14ac:dyDescent="0.25">
      <c r="B1034" s="97">
        <f t="shared" si="279"/>
        <v>246</v>
      </c>
      <c r="C1034" s="29"/>
      <c r="D1034" s="29"/>
      <c r="E1034" s="29"/>
      <c r="F1034" s="53" t="s">
        <v>511</v>
      </c>
      <c r="G1034" s="125">
        <v>610</v>
      </c>
      <c r="H1034" s="29" t="s">
        <v>338</v>
      </c>
      <c r="I1034" s="15">
        <f>53481+360</f>
        <v>53841</v>
      </c>
      <c r="J1034" s="15">
        <v>49110</v>
      </c>
      <c r="K1034" s="15">
        <v>50610</v>
      </c>
      <c r="L1034" s="15">
        <v>47140</v>
      </c>
      <c r="M1034" s="15">
        <v>41242</v>
      </c>
      <c r="N1034" s="15"/>
      <c r="O1034" s="15"/>
      <c r="P1034" s="15"/>
      <c r="Q1034" s="15"/>
      <c r="R1034" s="15"/>
      <c r="T1034" s="15">
        <f t="shared" si="281"/>
        <v>53841</v>
      </c>
    </row>
    <row r="1035" spans="2:20" x14ac:dyDescent="0.25">
      <c r="B1035" s="97">
        <f t="shared" si="279"/>
        <v>247</v>
      </c>
      <c r="C1035" s="29"/>
      <c r="D1035" s="29"/>
      <c r="E1035" s="29"/>
      <c r="F1035" s="53" t="s">
        <v>511</v>
      </c>
      <c r="G1035" s="125">
        <v>620</v>
      </c>
      <c r="H1035" s="29" t="s">
        <v>313</v>
      </c>
      <c r="I1035" s="15">
        <f>19959+126</f>
        <v>20085</v>
      </c>
      <c r="J1035" s="15">
        <v>18790</v>
      </c>
      <c r="K1035" s="15">
        <v>18890</v>
      </c>
      <c r="L1035" s="15">
        <v>17243</v>
      </c>
      <c r="M1035" s="15">
        <v>14790</v>
      </c>
      <c r="N1035" s="15"/>
      <c r="O1035" s="15"/>
      <c r="P1035" s="15"/>
      <c r="Q1035" s="15"/>
      <c r="R1035" s="15"/>
      <c r="T1035" s="15">
        <f t="shared" si="281"/>
        <v>20085</v>
      </c>
    </row>
    <row r="1036" spans="2:20" x14ac:dyDescent="0.25">
      <c r="B1036" s="97">
        <f t="shared" si="279"/>
        <v>248</v>
      </c>
      <c r="C1036" s="29"/>
      <c r="D1036" s="29"/>
      <c r="E1036" s="29"/>
      <c r="F1036" s="53" t="s">
        <v>511</v>
      </c>
      <c r="G1036" s="125">
        <v>630</v>
      </c>
      <c r="H1036" s="29" t="s">
        <v>303</v>
      </c>
      <c r="I1036" s="15">
        <f>I1037+I1038+I1039+I1040+I1041+I1042</f>
        <v>15782</v>
      </c>
      <c r="J1036" s="15">
        <f t="shared" ref="J1036:L1036" si="301">J1042+J1041+J1040+J1039+J1038</f>
        <v>15304</v>
      </c>
      <c r="K1036" s="15">
        <f t="shared" si="301"/>
        <v>15304</v>
      </c>
      <c r="L1036" s="15">
        <f t="shared" si="301"/>
        <v>19506</v>
      </c>
      <c r="M1036" s="15">
        <f>M1042+M1041+M1040+M1039+M1038+M1037</f>
        <v>14205</v>
      </c>
      <c r="N1036" s="15"/>
      <c r="O1036" s="15"/>
      <c r="P1036" s="15"/>
      <c r="Q1036" s="15"/>
      <c r="R1036" s="15"/>
      <c r="T1036" s="15">
        <f t="shared" si="281"/>
        <v>15782</v>
      </c>
    </row>
    <row r="1037" spans="2:20" x14ac:dyDescent="0.25">
      <c r="B1037" s="97">
        <f t="shared" si="279"/>
        <v>249</v>
      </c>
      <c r="C1037" s="29"/>
      <c r="D1037" s="29"/>
      <c r="E1037" s="29"/>
      <c r="F1037" s="54" t="s">
        <v>511</v>
      </c>
      <c r="G1037" s="126">
        <v>631</v>
      </c>
      <c r="H1037" s="9" t="s">
        <v>304</v>
      </c>
      <c r="I1037" s="15">
        <v>0</v>
      </c>
      <c r="J1037" s="15"/>
      <c r="K1037" s="15"/>
      <c r="L1037" s="15"/>
      <c r="M1037" s="16">
        <v>7</v>
      </c>
      <c r="N1037" s="15"/>
      <c r="O1037" s="15"/>
      <c r="P1037" s="15"/>
      <c r="Q1037" s="15"/>
      <c r="R1037" s="15"/>
      <c r="T1037" s="15">
        <f t="shared" si="281"/>
        <v>0</v>
      </c>
    </row>
    <row r="1038" spans="2:20" x14ac:dyDescent="0.25">
      <c r="B1038" s="97">
        <f t="shared" si="279"/>
        <v>250</v>
      </c>
      <c r="C1038" s="9"/>
      <c r="D1038" s="9"/>
      <c r="E1038" s="9"/>
      <c r="F1038" s="54" t="s">
        <v>511</v>
      </c>
      <c r="G1038" s="126">
        <v>632</v>
      </c>
      <c r="H1038" s="9" t="s">
        <v>314</v>
      </c>
      <c r="I1038" s="10">
        <v>300</v>
      </c>
      <c r="J1038" s="10">
        <v>320</v>
      </c>
      <c r="K1038" s="10">
        <v>320</v>
      </c>
      <c r="L1038" s="10">
        <v>277</v>
      </c>
      <c r="M1038" s="10">
        <v>311</v>
      </c>
      <c r="N1038" s="10"/>
      <c r="O1038" s="10"/>
      <c r="P1038" s="10"/>
      <c r="Q1038" s="10"/>
      <c r="R1038" s="10"/>
      <c r="T1038" s="10">
        <f t="shared" si="281"/>
        <v>300</v>
      </c>
    </row>
    <row r="1039" spans="2:20" x14ac:dyDescent="0.25">
      <c r="B1039" s="97">
        <f t="shared" si="279"/>
        <v>251</v>
      </c>
      <c r="C1039" s="9"/>
      <c r="D1039" s="9"/>
      <c r="E1039" s="9"/>
      <c r="F1039" s="54" t="s">
        <v>511</v>
      </c>
      <c r="G1039" s="126">
        <v>633</v>
      </c>
      <c r="H1039" s="9" t="s">
        <v>305</v>
      </c>
      <c r="I1039" s="10">
        <v>3022</v>
      </c>
      <c r="J1039" s="10">
        <v>3484</v>
      </c>
      <c r="K1039" s="10">
        <v>3484</v>
      </c>
      <c r="L1039" s="10">
        <v>3998</v>
      </c>
      <c r="M1039" s="10">
        <v>3072</v>
      </c>
      <c r="N1039" s="10"/>
      <c r="O1039" s="10"/>
      <c r="P1039" s="10"/>
      <c r="Q1039" s="10"/>
      <c r="R1039" s="10"/>
      <c r="T1039" s="10">
        <f t="shared" si="281"/>
        <v>3022</v>
      </c>
    </row>
    <row r="1040" spans="2:20" x14ac:dyDescent="0.25">
      <c r="B1040" s="97">
        <f t="shared" si="279"/>
        <v>252</v>
      </c>
      <c r="C1040" s="9"/>
      <c r="D1040" s="9"/>
      <c r="E1040" s="9"/>
      <c r="F1040" s="54" t="s">
        <v>511</v>
      </c>
      <c r="G1040" s="126">
        <v>635</v>
      </c>
      <c r="H1040" s="9" t="s">
        <v>320</v>
      </c>
      <c r="I1040" s="10">
        <v>1200</v>
      </c>
      <c r="J1040" s="10">
        <v>0</v>
      </c>
      <c r="K1040" s="10">
        <v>0</v>
      </c>
      <c r="L1040" s="10">
        <v>2105</v>
      </c>
      <c r="M1040" s="10">
        <v>0</v>
      </c>
      <c r="N1040" s="10"/>
      <c r="O1040" s="10"/>
      <c r="P1040" s="10"/>
      <c r="Q1040" s="10"/>
      <c r="R1040" s="10"/>
      <c r="T1040" s="10">
        <f t="shared" si="281"/>
        <v>1200</v>
      </c>
    </row>
    <row r="1041" spans="2:20" x14ac:dyDescent="0.25">
      <c r="B1041" s="97">
        <f t="shared" si="279"/>
        <v>253</v>
      </c>
      <c r="C1041" s="9"/>
      <c r="D1041" s="9"/>
      <c r="E1041" s="9"/>
      <c r="F1041" s="54" t="s">
        <v>511</v>
      </c>
      <c r="G1041" s="126">
        <v>636</v>
      </c>
      <c r="H1041" s="9" t="s">
        <v>307</v>
      </c>
      <c r="I1041" s="10">
        <v>10000</v>
      </c>
      <c r="J1041" s="10">
        <v>10000</v>
      </c>
      <c r="K1041" s="10">
        <v>10000</v>
      </c>
      <c r="L1041" s="10">
        <v>10829</v>
      </c>
      <c r="M1041" s="10">
        <v>9446</v>
      </c>
      <c r="N1041" s="10"/>
      <c r="O1041" s="10"/>
      <c r="P1041" s="10"/>
      <c r="Q1041" s="10"/>
      <c r="R1041" s="10"/>
      <c r="T1041" s="10">
        <f t="shared" si="281"/>
        <v>10000</v>
      </c>
    </row>
    <row r="1042" spans="2:20" x14ac:dyDescent="0.25">
      <c r="B1042" s="97">
        <f t="shared" si="279"/>
        <v>254</v>
      </c>
      <c r="C1042" s="9"/>
      <c r="D1042" s="9"/>
      <c r="E1042" s="9"/>
      <c r="F1042" s="54" t="s">
        <v>511</v>
      </c>
      <c r="G1042" s="126">
        <v>637</v>
      </c>
      <c r="H1042" s="9" t="s">
        <v>308</v>
      </c>
      <c r="I1042" s="10">
        <v>1260</v>
      </c>
      <c r="J1042" s="10">
        <v>1500</v>
      </c>
      <c r="K1042" s="10">
        <v>1500</v>
      </c>
      <c r="L1042" s="10">
        <v>2297</v>
      </c>
      <c r="M1042" s="10">
        <v>1369</v>
      </c>
      <c r="N1042" s="10"/>
      <c r="O1042" s="10"/>
      <c r="P1042" s="10"/>
      <c r="Q1042" s="10"/>
      <c r="R1042" s="10"/>
      <c r="T1042" s="10">
        <f t="shared" si="281"/>
        <v>1260</v>
      </c>
    </row>
    <row r="1043" spans="2:20" x14ac:dyDescent="0.25">
      <c r="B1043" s="97">
        <f t="shared" si="279"/>
        <v>255</v>
      </c>
      <c r="C1043" s="29"/>
      <c r="D1043" s="29"/>
      <c r="E1043" s="29"/>
      <c r="F1043" s="53" t="s">
        <v>511</v>
      </c>
      <c r="G1043" s="125">
        <v>640</v>
      </c>
      <c r="H1043" s="29" t="s">
        <v>315</v>
      </c>
      <c r="I1043" s="15">
        <v>0</v>
      </c>
      <c r="J1043" s="15">
        <v>1400</v>
      </c>
      <c r="K1043" s="15">
        <v>1400</v>
      </c>
      <c r="L1043" s="15">
        <v>888</v>
      </c>
      <c r="M1043" s="15">
        <v>68</v>
      </c>
      <c r="N1043" s="15"/>
      <c r="O1043" s="15"/>
      <c r="P1043" s="15"/>
      <c r="Q1043" s="15"/>
      <c r="R1043" s="15"/>
      <c r="T1043" s="15">
        <f t="shared" si="281"/>
        <v>0</v>
      </c>
    </row>
    <row r="1044" spans="2:20" x14ac:dyDescent="0.25">
      <c r="B1044" s="97">
        <f t="shared" si="279"/>
        <v>256</v>
      </c>
      <c r="C1044" s="29"/>
      <c r="D1044" s="29"/>
      <c r="E1044" s="29"/>
      <c r="F1044" s="53" t="s">
        <v>511</v>
      </c>
      <c r="G1044" s="125">
        <v>710</v>
      </c>
      <c r="H1044" s="29" t="s">
        <v>321</v>
      </c>
      <c r="I1044" s="15"/>
      <c r="J1044" s="15"/>
      <c r="K1044" s="15"/>
      <c r="L1044" s="15"/>
      <c r="M1044" s="15"/>
      <c r="N1044" s="15">
        <f>N1045</f>
        <v>10000</v>
      </c>
      <c r="O1044" s="15">
        <f t="shared" ref="O1044:P1045" si="302">O1045</f>
        <v>10000</v>
      </c>
      <c r="P1044" s="15">
        <f t="shared" si="302"/>
        <v>10000</v>
      </c>
      <c r="Q1044" s="15"/>
      <c r="R1044" s="15"/>
      <c r="T1044" s="15">
        <f t="shared" si="281"/>
        <v>10000</v>
      </c>
    </row>
    <row r="1045" spans="2:20" x14ac:dyDescent="0.25">
      <c r="B1045" s="97">
        <f t="shared" si="279"/>
        <v>257</v>
      </c>
      <c r="C1045" s="29"/>
      <c r="D1045" s="29"/>
      <c r="E1045" s="29"/>
      <c r="F1045" s="54" t="s">
        <v>511</v>
      </c>
      <c r="G1045" s="126">
        <v>717</v>
      </c>
      <c r="H1045" s="9" t="s">
        <v>327</v>
      </c>
      <c r="I1045" s="15"/>
      <c r="J1045" s="15"/>
      <c r="K1045" s="15"/>
      <c r="L1045" s="15"/>
      <c r="M1045" s="15"/>
      <c r="N1045" s="15">
        <f>N1046</f>
        <v>10000</v>
      </c>
      <c r="O1045" s="15">
        <f t="shared" si="302"/>
        <v>10000</v>
      </c>
      <c r="P1045" s="15">
        <f t="shared" si="302"/>
        <v>10000</v>
      </c>
      <c r="Q1045" s="15"/>
      <c r="R1045" s="15"/>
      <c r="T1045" s="15">
        <f t="shared" si="281"/>
        <v>10000</v>
      </c>
    </row>
    <row r="1046" spans="2:20" x14ac:dyDescent="0.25">
      <c r="B1046" s="97">
        <f t="shared" si="279"/>
        <v>258</v>
      </c>
      <c r="C1046" s="12"/>
      <c r="D1046" s="12"/>
      <c r="E1046" s="12"/>
      <c r="F1046" s="12"/>
      <c r="G1046" s="127"/>
      <c r="H1046" s="91" t="s">
        <v>838</v>
      </c>
      <c r="I1046" s="13"/>
      <c r="J1046" s="13"/>
      <c r="K1046" s="13"/>
      <c r="L1046" s="13"/>
      <c r="M1046" s="13"/>
      <c r="N1046" s="13">
        <v>10000</v>
      </c>
      <c r="O1046" s="13">
        <v>10000</v>
      </c>
      <c r="P1046" s="13">
        <v>10000</v>
      </c>
      <c r="Q1046" s="13"/>
      <c r="R1046" s="13"/>
      <c r="T1046" s="13">
        <f t="shared" si="281"/>
        <v>10000</v>
      </c>
    </row>
    <row r="1047" spans="2:20" x14ac:dyDescent="0.25">
      <c r="B1047" s="97">
        <f t="shared" ref="B1047:B1109" si="303">B1046+1</f>
        <v>259</v>
      </c>
      <c r="C1047" s="51"/>
      <c r="D1047" s="51"/>
      <c r="E1047" s="51" t="s">
        <v>130</v>
      </c>
      <c r="F1047" s="51"/>
      <c r="G1047" s="124"/>
      <c r="H1047" s="51" t="s">
        <v>131</v>
      </c>
      <c r="I1047" s="52">
        <f>I1048+I1049+I1050+I1057</f>
        <v>263754</v>
      </c>
      <c r="J1047" s="52">
        <f t="shared" ref="J1047:M1047" si="304">J1048+J1049+J1050+J1057</f>
        <v>237267</v>
      </c>
      <c r="K1047" s="52">
        <f t="shared" si="304"/>
        <v>238467</v>
      </c>
      <c r="L1047" s="52">
        <f t="shared" si="304"/>
        <v>221846</v>
      </c>
      <c r="M1047" s="52">
        <f t="shared" si="304"/>
        <v>194674</v>
      </c>
      <c r="N1047" s="52">
        <f>N1058</f>
        <v>0</v>
      </c>
      <c r="O1047" s="52">
        <f t="shared" ref="O1047:R1047" si="305">O1058</f>
        <v>30000</v>
      </c>
      <c r="P1047" s="52">
        <f t="shared" si="305"/>
        <v>67500</v>
      </c>
      <c r="Q1047" s="52">
        <f t="shared" si="305"/>
        <v>0</v>
      </c>
      <c r="R1047" s="52">
        <f t="shared" si="305"/>
        <v>16489</v>
      </c>
      <c r="T1047" s="52">
        <f t="shared" si="281"/>
        <v>263754</v>
      </c>
    </row>
    <row r="1048" spans="2:20" x14ac:dyDescent="0.25">
      <c r="B1048" s="97">
        <f t="shared" si="303"/>
        <v>260</v>
      </c>
      <c r="C1048" s="29"/>
      <c r="D1048" s="29"/>
      <c r="E1048" s="29"/>
      <c r="F1048" s="53" t="s">
        <v>511</v>
      </c>
      <c r="G1048" s="125">
        <v>610</v>
      </c>
      <c r="H1048" s="29" t="s">
        <v>338</v>
      </c>
      <c r="I1048" s="15">
        <f>160691+1800</f>
        <v>162491</v>
      </c>
      <c r="J1048" s="15">
        <v>148370</v>
      </c>
      <c r="K1048" s="15">
        <v>149270</v>
      </c>
      <c r="L1048" s="15">
        <v>136160</v>
      </c>
      <c r="M1048" s="15">
        <v>101691</v>
      </c>
      <c r="N1048" s="15"/>
      <c r="O1048" s="15"/>
      <c r="P1048" s="15"/>
      <c r="Q1048" s="15"/>
      <c r="R1048" s="15"/>
      <c r="T1048" s="15">
        <f t="shared" ref="T1048:T1111" si="306">I1048+N1048</f>
        <v>162491</v>
      </c>
    </row>
    <row r="1049" spans="2:20" x14ac:dyDescent="0.25">
      <c r="B1049" s="97">
        <f t="shared" si="303"/>
        <v>261</v>
      </c>
      <c r="C1049" s="29"/>
      <c r="D1049" s="29"/>
      <c r="E1049" s="29"/>
      <c r="F1049" s="53" t="s">
        <v>511</v>
      </c>
      <c r="G1049" s="125">
        <v>620</v>
      </c>
      <c r="H1049" s="29" t="s">
        <v>313</v>
      </c>
      <c r="I1049" s="15">
        <f>59564+630</f>
        <v>60194</v>
      </c>
      <c r="J1049" s="15">
        <v>55095</v>
      </c>
      <c r="K1049" s="15">
        <v>55395</v>
      </c>
      <c r="L1049" s="15">
        <v>50670</v>
      </c>
      <c r="M1049" s="15">
        <v>37573</v>
      </c>
      <c r="N1049" s="15"/>
      <c r="O1049" s="15"/>
      <c r="P1049" s="15"/>
      <c r="Q1049" s="15"/>
      <c r="R1049" s="15"/>
      <c r="T1049" s="15">
        <f t="shared" si="306"/>
        <v>60194</v>
      </c>
    </row>
    <row r="1050" spans="2:20" x14ac:dyDescent="0.25">
      <c r="B1050" s="97">
        <f t="shared" si="303"/>
        <v>262</v>
      </c>
      <c r="C1050" s="29"/>
      <c r="D1050" s="29"/>
      <c r="E1050" s="29"/>
      <c r="F1050" s="53" t="s">
        <v>511</v>
      </c>
      <c r="G1050" s="125">
        <v>630</v>
      </c>
      <c r="H1050" s="29" t="s">
        <v>303</v>
      </c>
      <c r="I1050" s="15">
        <f>I1051+I1052+I1053+I1054+I1055+I1056</f>
        <v>37307</v>
      </c>
      <c r="J1050" s="15">
        <f t="shared" ref="J1050:L1050" si="307">J1056+J1055+J1054+J1053+J1052</f>
        <v>30522</v>
      </c>
      <c r="K1050" s="15">
        <f t="shared" si="307"/>
        <v>30522</v>
      </c>
      <c r="L1050" s="15">
        <f t="shared" si="307"/>
        <v>34570</v>
      </c>
      <c r="M1050" s="15">
        <f>M1056+M1055+M1054+M1053+M1052+M1051</f>
        <v>53803</v>
      </c>
      <c r="N1050" s="15"/>
      <c r="O1050" s="15"/>
      <c r="P1050" s="15"/>
      <c r="Q1050" s="15"/>
      <c r="R1050" s="15"/>
      <c r="T1050" s="15">
        <f t="shared" si="306"/>
        <v>37307</v>
      </c>
    </row>
    <row r="1051" spans="2:20" x14ac:dyDescent="0.25">
      <c r="B1051" s="97">
        <f t="shared" si="303"/>
        <v>263</v>
      </c>
      <c r="C1051" s="29"/>
      <c r="D1051" s="29"/>
      <c r="E1051" s="29"/>
      <c r="F1051" s="54" t="s">
        <v>511</v>
      </c>
      <c r="G1051" s="126">
        <v>631</v>
      </c>
      <c r="H1051" s="9" t="s">
        <v>304</v>
      </c>
      <c r="I1051" s="15">
        <v>0</v>
      </c>
      <c r="J1051" s="15"/>
      <c r="K1051" s="15"/>
      <c r="L1051" s="15"/>
      <c r="M1051" s="16">
        <v>7</v>
      </c>
      <c r="N1051" s="15"/>
      <c r="O1051" s="15"/>
      <c r="P1051" s="15"/>
      <c r="Q1051" s="15"/>
      <c r="R1051" s="15"/>
      <c r="T1051" s="15">
        <f t="shared" si="306"/>
        <v>0</v>
      </c>
    </row>
    <row r="1052" spans="2:20" x14ac:dyDescent="0.25">
      <c r="B1052" s="97">
        <f t="shared" si="303"/>
        <v>264</v>
      </c>
      <c r="C1052" s="9"/>
      <c r="D1052" s="9"/>
      <c r="E1052" s="9"/>
      <c r="F1052" s="54" t="s">
        <v>511</v>
      </c>
      <c r="G1052" s="126">
        <v>632</v>
      </c>
      <c r="H1052" s="9" t="s">
        <v>314</v>
      </c>
      <c r="I1052" s="10">
        <v>13520</v>
      </c>
      <c r="J1052" s="10">
        <v>7530</v>
      </c>
      <c r="K1052" s="10">
        <v>7530</v>
      </c>
      <c r="L1052" s="10">
        <v>13455</v>
      </c>
      <c r="M1052" s="10">
        <v>20455</v>
      </c>
      <c r="N1052" s="10"/>
      <c r="O1052" s="10"/>
      <c r="P1052" s="10"/>
      <c r="Q1052" s="10"/>
      <c r="R1052" s="10"/>
      <c r="T1052" s="10">
        <f t="shared" si="306"/>
        <v>13520</v>
      </c>
    </row>
    <row r="1053" spans="2:20" x14ac:dyDescent="0.25">
      <c r="B1053" s="97">
        <f t="shared" si="303"/>
        <v>265</v>
      </c>
      <c r="C1053" s="9"/>
      <c r="D1053" s="9"/>
      <c r="E1053" s="9"/>
      <c r="F1053" s="54" t="s">
        <v>511</v>
      </c>
      <c r="G1053" s="126">
        <v>633</v>
      </c>
      <c r="H1053" s="9" t="s">
        <v>305</v>
      </c>
      <c r="I1053" s="10">
        <v>10487</v>
      </c>
      <c r="J1053" s="10">
        <v>10692</v>
      </c>
      <c r="K1053" s="10">
        <v>10692</v>
      </c>
      <c r="L1053" s="10">
        <v>10775</v>
      </c>
      <c r="M1053" s="10">
        <v>21919</v>
      </c>
      <c r="N1053" s="10"/>
      <c r="O1053" s="10"/>
      <c r="P1053" s="10"/>
      <c r="Q1053" s="10"/>
      <c r="R1053" s="10"/>
      <c r="T1053" s="10">
        <f t="shared" si="306"/>
        <v>10487</v>
      </c>
    </row>
    <row r="1054" spans="2:20" x14ac:dyDescent="0.25">
      <c r="B1054" s="97">
        <f t="shared" si="303"/>
        <v>266</v>
      </c>
      <c r="C1054" s="9"/>
      <c r="D1054" s="9"/>
      <c r="E1054" s="9"/>
      <c r="F1054" s="54" t="s">
        <v>511</v>
      </c>
      <c r="G1054" s="126">
        <v>635</v>
      </c>
      <c r="H1054" s="9" t="s">
        <v>320</v>
      </c>
      <c r="I1054" s="10">
        <v>2500</v>
      </c>
      <c r="J1054" s="10">
        <v>600</v>
      </c>
      <c r="K1054" s="10">
        <v>600</v>
      </c>
      <c r="L1054" s="10">
        <v>0</v>
      </c>
      <c r="M1054" s="10">
        <v>500</v>
      </c>
      <c r="N1054" s="10"/>
      <c r="O1054" s="10"/>
      <c r="P1054" s="10"/>
      <c r="Q1054" s="10"/>
      <c r="R1054" s="10"/>
      <c r="T1054" s="10">
        <f t="shared" si="306"/>
        <v>2500</v>
      </c>
    </row>
    <row r="1055" spans="2:20" x14ac:dyDescent="0.25">
      <c r="B1055" s="97">
        <f t="shared" si="303"/>
        <v>267</v>
      </c>
      <c r="C1055" s="9"/>
      <c r="D1055" s="9"/>
      <c r="E1055" s="9"/>
      <c r="F1055" s="54" t="s">
        <v>511</v>
      </c>
      <c r="G1055" s="126">
        <v>636</v>
      </c>
      <c r="H1055" s="9" t="s">
        <v>307</v>
      </c>
      <c r="I1055" s="10">
        <v>4000</v>
      </c>
      <c r="J1055" s="10">
        <v>4700</v>
      </c>
      <c r="K1055" s="10">
        <v>4700</v>
      </c>
      <c r="L1055" s="10">
        <v>3878</v>
      </c>
      <c r="M1055" s="10">
        <v>4615</v>
      </c>
      <c r="N1055" s="10"/>
      <c r="O1055" s="10"/>
      <c r="P1055" s="10"/>
      <c r="Q1055" s="10"/>
      <c r="R1055" s="10"/>
      <c r="T1055" s="10">
        <f t="shared" si="306"/>
        <v>4000</v>
      </c>
    </row>
    <row r="1056" spans="2:20" x14ac:dyDescent="0.25">
      <c r="B1056" s="97">
        <f t="shared" si="303"/>
        <v>268</v>
      </c>
      <c r="C1056" s="9"/>
      <c r="D1056" s="9"/>
      <c r="E1056" s="9"/>
      <c r="F1056" s="54" t="s">
        <v>511</v>
      </c>
      <c r="G1056" s="126">
        <v>637</v>
      </c>
      <c r="H1056" s="9" t="s">
        <v>308</v>
      </c>
      <c r="I1056" s="10">
        <v>6800</v>
      </c>
      <c r="J1056" s="10">
        <v>7000</v>
      </c>
      <c r="K1056" s="10">
        <v>7000</v>
      </c>
      <c r="L1056" s="10">
        <v>6462</v>
      </c>
      <c r="M1056" s="10">
        <v>6307</v>
      </c>
      <c r="N1056" s="10"/>
      <c r="O1056" s="10"/>
      <c r="P1056" s="10"/>
      <c r="Q1056" s="10"/>
      <c r="R1056" s="10"/>
      <c r="T1056" s="10">
        <f t="shared" si="306"/>
        <v>6800</v>
      </c>
    </row>
    <row r="1057" spans="2:20" x14ac:dyDescent="0.25">
      <c r="B1057" s="97">
        <f t="shared" si="303"/>
        <v>269</v>
      </c>
      <c r="C1057" s="29"/>
      <c r="F1057" s="53" t="s">
        <v>511</v>
      </c>
      <c r="G1057" s="125">
        <v>640</v>
      </c>
      <c r="H1057" s="29" t="s">
        <v>315</v>
      </c>
      <c r="I1057" s="15">
        <v>3762</v>
      </c>
      <c r="J1057" s="15">
        <v>3280</v>
      </c>
      <c r="K1057" s="15">
        <v>3280</v>
      </c>
      <c r="L1057" s="15">
        <v>446</v>
      </c>
      <c r="M1057" s="15">
        <v>1607</v>
      </c>
      <c r="N1057" s="15"/>
      <c r="O1057" s="15"/>
      <c r="P1057" s="15"/>
      <c r="Q1057" s="15"/>
      <c r="R1057" s="15"/>
      <c r="T1057" s="15">
        <f t="shared" si="306"/>
        <v>3762</v>
      </c>
    </row>
    <row r="1058" spans="2:20" x14ac:dyDescent="0.25">
      <c r="B1058" s="97">
        <f t="shared" si="303"/>
        <v>270</v>
      </c>
      <c r="C1058" s="29"/>
      <c r="D1058" s="61"/>
      <c r="E1058" s="62"/>
      <c r="F1058" s="53" t="s">
        <v>511</v>
      </c>
      <c r="G1058" s="125">
        <v>710</v>
      </c>
      <c r="H1058" s="29" t="s">
        <v>321</v>
      </c>
      <c r="I1058" s="15"/>
      <c r="J1058" s="15"/>
      <c r="K1058" s="15"/>
      <c r="L1058" s="15"/>
      <c r="M1058" s="15"/>
      <c r="N1058" s="15"/>
      <c r="O1058" s="15">
        <f t="shared" ref="O1058:R1058" si="308">O1059</f>
        <v>30000</v>
      </c>
      <c r="P1058" s="15">
        <f t="shared" si="308"/>
        <v>67500</v>
      </c>
      <c r="Q1058" s="15"/>
      <c r="R1058" s="15">
        <f t="shared" si="308"/>
        <v>16489</v>
      </c>
      <c r="T1058" s="15">
        <f t="shared" si="306"/>
        <v>0</v>
      </c>
    </row>
    <row r="1059" spans="2:20" x14ac:dyDescent="0.25">
      <c r="B1059" s="97">
        <f t="shared" si="303"/>
        <v>271</v>
      </c>
      <c r="C1059" s="29"/>
      <c r="D1059" s="61"/>
      <c r="E1059" s="62"/>
      <c r="F1059" s="54" t="s">
        <v>511</v>
      </c>
      <c r="G1059" s="126">
        <v>717</v>
      </c>
      <c r="H1059" s="9" t="s">
        <v>327</v>
      </c>
      <c r="I1059" s="15"/>
      <c r="J1059" s="15"/>
      <c r="K1059" s="15"/>
      <c r="L1059" s="15"/>
      <c r="M1059" s="15"/>
      <c r="N1059" s="15"/>
      <c r="O1059" s="15">
        <f>O1060</f>
        <v>30000</v>
      </c>
      <c r="P1059" s="15">
        <f>P1060</f>
        <v>67500</v>
      </c>
      <c r="Q1059" s="15"/>
      <c r="R1059" s="15">
        <v>16489</v>
      </c>
      <c r="T1059" s="15">
        <f t="shared" si="306"/>
        <v>0</v>
      </c>
    </row>
    <row r="1060" spans="2:20" x14ac:dyDescent="0.25">
      <c r="B1060" s="97">
        <f t="shared" si="303"/>
        <v>272</v>
      </c>
      <c r="C1060" s="12"/>
      <c r="D1060" s="12"/>
      <c r="E1060" s="12"/>
      <c r="F1060" s="12"/>
      <c r="G1060" s="127"/>
      <c r="H1060" s="12" t="s">
        <v>533</v>
      </c>
      <c r="I1060" s="13"/>
      <c r="J1060" s="13"/>
      <c r="K1060" s="13"/>
      <c r="L1060" s="13"/>
      <c r="M1060" s="13"/>
      <c r="N1060" s="13"/>
      <c r="O1060" s="13">
        <v>30000</v>
      </c>
      <c r="P1060" s="13">
        <v>67500</v>
      </c>
      <c r="Q1060" s="13"/>
      <c r="R1060" s="13"/>
      <c r="T1060" s="13">
        <f t="shared" si="306"/>
        <v>0</v>
      </c>
    </row>
    <row r="1061" spans="2:20" ht="15.75" x14ac:dyDescent="0.25">
      <c r="B1061" s="97">
        <f t="shared" si="303"/>
        <v>273</v>
      </c>
      <c r="C1061" s="45">
        <v>2</v>
      </c>
      <c r="D1061" s="293" t="s">
        <v>542</v>
      </c>
      <c r="E1061" s="294"/>
      <c r="F1061" s="294"/>
      <c r="G1061" s="294"/>
      <c r="H1061" s="295"/>
      <c r="I1061" s="46">
        <f>I1065+I1068+I1069+I1073+I1091+I1116+I1147+I1174+I1205+I1243+I1277+I1309</f>
        <v>7440384</v>
      </c>
      <c r="J1061" s="46">
        <f t="shared" ref="J1061:M1061" si="309">J1062</f>
        <v>6801358</v>
      </c>
      <c r="K1061" s="46">
        <f t="shared" si="309"/>
        <v>6928347</v>
      </c>
      <c r="L1061" s="46">
        <f t="shared" si="309"/>
        <v>6530637.7000000011</v>
      </c>
      <c r="M1061" s="46">
        <f t="shared" si="309"/>
        <v>6507182</v>
      </c>
      <c r="N1061" s="46">
        <f t="shared" ref="N1061:R1061" si="310">N1069+N1073+N1091+N1116+N1147+N1174+N1205+N1243+N1277+N1309</f>
        <v>494902</v>
      </c>
      <c r="O1061" s="46">
        <f t="shared" si="310"/>
        <v>202000</v>
      </c>
      <c r="P1061" s="46">
        <f t="shared" si="310"/>
        <v>541660</v>
      </c>
      <c r="Q1061" s="46">
        <f t="shared" si="310"/>
        <v>94014</v>
      </c>
      <c r="R1061" s="46">
        <f t="shared" si="310"/>
        <v>166849.4</v>
      </c>
      <c r="T1061" s="46">
        <f t="shared" si="306"/>
        <v>7935286</v>
      </c>
    </row>
    <row r="1062" spans="2:20" hidden="1" x14ac:dyDescent="0.25">
      <c r="B1062" s="97">
        <f t="shared" si="303"/>
        <v>274</v>
      </c>
      <c r="C1062" s="47"/>
      <c r="D1062" s="47" t="s">
        <v>60</v>
      </c>
      <c r="E1062" s="296"/>
      <c r="F1062" s="294"/>
      <c r="G1062" s="294"/>
      <c r="H1062" s="295"/>
      <c r="I1062" s="48"/>
      <c r="J1062" s="48">
        <f>J1309+J1277+J1243+J1205+J1174+J1147+J1116+J1091+J1073+J1063</f>
        <v>6801358</v>
      </c>
      <c r="K1062" s="48">
        <f>K1309+K1277+K1243+K1205+K1174+K1147+K1116+K1091+K1073+K1063</f>
        <v>6928347</v>
      </c>
      <c r="L1062" s="48">
        <f>L1309+L1277+L1243+L1205+L1174+L1147+L1116+L1091+L1073+L1063</f>
        <v>6530637.7000000011</v>
      </c>
      <c r="M1062" s="48">
        <f>M1309+M1277+M1243+M1205+M1174+M1147+M1116+M1091+M1073+M1063</f>
        <v>6507182</v>
      </c>
      <c r="N1062" s="48"/>
      <c r="O1062" s="48"/>
      <c r="P1062" s="48"/>
      <c r="Q1062" s="48"/>
      <c r="R1062" s="48"/>
      <c r="T1062" s="48">
        <f t="shared" si="306"/>
        <v>0</v>
      </c>
    </row>
    <row r="1063" spans="2:20" hidden="1" x14ac:dyDescent="0.25">
      <c r="B1063" s="97">
        <f t="shared" si="303"/>
        <v>275</v>
      </c>
      <c r="C1063" s="49"/>
      <c r="D1063" s="49"/>
      <c r="E1063" s="49"/>
      <c r="F1063" s="49"/>
      <c r="G1063" s="123"/>
      <c r="H1063" s="49" t="s">
        <v>12</v>
      </c>
      <c r="I1063" s="50"/>
      <c r="J1063" s="50">
        <f t="shared" ref="J1063:M1063" si="311">J1064</f>
        <v>0</v>
      </c>
      <c r="K1063" s="50">
        <f t="shared" si="311"/>
        <v>4093</v>
      </c>
      <c r="L1063" s="50">
        <f t="shared" si="311"/>
        <v>2983</v>
      </c>
      <c r="M1063" s="50">
        <f t="shared" si="311"/>
        <v>12562</v>
      </c>
      <c r="N1063" s="50"/>
      <c r="O1063" s="50"/>
      <c r="P1063" s="50"/>
      <c r="Q1063" s="50"/>
      <c r="R1063" s="50"/>
      <c r="T1063" s="50">
        <f t="shared" si="306"/>
        <v>0</v>
      </c>
    </row>
    <row r="1064" spans="2:20" hidden="1" x14ac:dyDescent="0.25">
      <c r="B1064" s="97">
        <f t="shared" si="303"/>
        <v>276</v>
      </c>
      <c r="C1064" s="51"/>
      <c r="D1064" s="51"/>
      <c r="E1064" s="51" t="s">
        <v>60</v>
      </c>
      <c r="F1064" s="51"/>
      <c r="G1064" s="124"/>
      <c r="H1064" s="51"/>
      <c r="I1064" s="52"/>
      <c r="J1064" s="52">
        <f>J1069+J1068+J1065</f>
        <v>0</v>
      </c>
      <c r="K1064" s="52">
        <f>K1069+K1068+K1065</f>
        <v>4093</v>
      </c>
      <c r="L1064" s="52">
        <f>L1069+L1068+L1065</f>
        <v>2983</v>
      </c>
      <c r="M1064" s="52">
        <f>M1069+M1068+M1065</f>
        <v>12562</v>
      </c>
      <c r="N1064" s="52"/>
      <c r="O1064" s="52"/>
      <c r="P1064" s="52"/>
      <c r="Q1064" s="52"/>
      <c r="R1064" s="52"/>
      <c r="T1064" s="52">
        <f t="shared" si="306"/>
        <v>0</v>
      </c>
    </row>
    <row r="1065" spans="2:20" x14ac:dyDescent="0.25">
      <c r="B1065" s="97">
        <f t="shared" si="303"/>
        <v>277</v>
      </c>
      <c r="C1065" s="29"/>
      <c r="D1065" s="29"/>
      <c r="E1065" s="29"/>
      <c r="F1065" s="53" t="s">
        <v>543</v>
      </c>
      <c r="G1065" s="125">
        <v>630</v>
      </c>
      <c r="H1065" s="29" t="s">
        <v>303</v>
      </c>
      <c r="I1065" s="15">
        <f>I1066+I1067</f>
        <v>12450</v>
      </c>
      <c r="J1065" s="15"/>
      <c r="K1065" s="15">
        <v>793</v>
      </c>
      <c r="L1065" s="15"/>
      <c r="M1065" s="15">
        <v>9387</v>
      </c>
      <c r="N1065" s="15"/>
      <c r="O1065" s="15"/>
      <c r="P1065" s="15"/>
      <c r="Q1065" s="15"/>
      <c r="R1065" s="15"/>
      <c r="T1065" s="15">
        <f t="shared" si="306"/>
        <v>12450</v>
      </c>
    </row>
    <row r="1066" spans="2:20" x14ac:dyDescent="0.25">
      <c r="B1066" s="97">
        <f t="shared" si="303"/>
        <v>278</v>
      </c>
      <c r="C1066" s="29"/>
      <c r="D1066" s="29"/>
      <c r="E1066" s="29"/>
      <c r="F1066" s="55" t="s">
        <v>543</v>
      </c>
      <c r="G1066" s="128">
        <v>637</v>
      </c>
      <c r="H1066" s="56" t="s">
        <v>808</v>
      </c>
      <c r="I1066" s="16">
        <v>2450</v>
      </c>
      <c r="J1066" s="15"/>
      <c r="K1066" s="15"/>
      <c r="L1066" s="15"/>
      <c r="M1066" s="15"/>
      <c r="N1066" s="15"/>
      <c r="O1066" s="15"/>
      <c r="P1066" s="15"/>
      <c r="Q1066" s="15"/>
      <c r="R1066" s="15"/>
      <c r="T1066" s="15">
        <f t="shared" si="306"/>
        <v>2450</v>
      </c>
    </row>
    <row r="1067" spans="2:20" x14ac:dyDescent="0.25">
      <c r="B1067" s="97">
        <f t="shared" si="303"/>
        <v>279</v>
      </c>
      <c r="C1067" s="29"/>
      <c r="D1067" s="29"/>
      <c r="E1067" s="29"/>
      <c r="F1067" s="55" t="s">
        <v>543</v>
      </c>
      <c r="G1067" s="128">
        <v>635</v>
      </c>
      <c r="H1067" s="56" t="s">
        <v>809</v>
      </c>
      <c r="I1067" s="16">
        <f>20000-10000</f>
        <v>10000</v>
      </c>
      <c r="J1067" s="15"/>
      <c r="K1067" s="15"/>
      <c r="L1067" s="15"/>
      <c r="M1067" s="15"/>
      <c r="N1067" s="15"/>
      <c r="O1067" s="15"/>
      <c r="P1067" s="15"/>
      <c r="Q1067" s="15"/>
      <c r="R1067" s="15"/>
      <c r="T1067" s="15">
        <f t="shared" si="306"/>
        <v>10000</v>
      </c>
    </row>
    <row r="1068" spans="2:20" x14ac:dyDescent="0.25">
      <c r="B1068" s="97">
        <f t="shared" si="303"/>
        <v>280</v>
      </c>
      <c r="C1068" s="29"/>
      <c r="D1068" s="29"/>
      <c r="E1068" s="29"/>
      <c r="F1068" s="53" t="s">
        <v>544</v>
      </c>
      <c r="G1068" s="125">
        <v>640</v>
      </c>
      <c r="H1068" s="29" t="s">
        <v>315</v>
      </c>
      <c r="I1068" s="15"/>
      <c r="J1068" s="15"/>
      <c r="K1068" s="15">
        <v>3300</v>
      </c>
      <c r="L1068" s="15">
        <v>2983</v>
      </c>
      <c r="M1068" s="15">
        <v>3175</v>
      </c>
      <c r="N1068" s="15"/>
      <c r="O1068" s="15"/>
      <c r="P1068" s="15"/>
      <c r="Q1068" s="15"/>
      <c r="R1068" s="15"/>
      <c r="T1068" s="15">
        <f t="shared" si="306"/>
        <v>0</v>
      </c>
    </row>
    <row r="1069" spans="2:20" x14ac:dyDescent="0.25">
      <c r="B1069" s="97">
        <f t="shared" si="303"/>
        <v>281</v>
      </c>
      <c r="C1069" s="29"/>
      <c r="D1069" s="29"/>
      <c r="E1069" s="29"/>
      <c r="F1069" s="53" t="s">
        <v>543</v>
      </c>
      <c r="G1069" s="125">
        <v>710</v>
      </c>
      <c r="H1069" s="29" t="s">
        <v>321</v>
      </c>
      <c r="I1069" s="15"/>
      <c r="J1069" s="15"/>
      <c r="K1069" s="15"/>
      <c r="L1069" s="15"/>
      <c r="M1069" s="15"/>
      <c r="N1069" s="15"/>
      <c r="O1069" s="15"/>
      <c r="P1069" s="15"/>
      <c r="Q1069" s="15"/>
      <c r="R1069" s="15">
        <f t="shared" ref="R1069" si="312">R1070</f>
        <v>81959.399999999994</v>
      </c>
      <c r="T1069" s="15">
        <f t="shared" si="306"/>
        <v>0</v>
      </c>
    </row>
    <row r="1070" spans="2:20" x14ac:dyDescent="0.25">
      <c r="B1070" s="97">
        <f t="shared" si="303"/>
        <v>282</v>
      </c>
      <c r="C1070" s="9"/>
      <c r="D1070" s="9"/>
      <c r="E1070" s="9"/>
      <c r="F1070" s="54" t="s">
        <v>543</v>
      </c>
      <c r="G1070" s="126">
        <v>717</v>
      </c>
      <c r="H1070" s="9" t="s">
        <v>327</v>
      </c>
      <c r="I1070" s="10"/>
      <c r="J1070" s="10"/>
      <c r="K1070" s="10"/>
      <c r="L1070" s="10"/>
      <c r="M1070" s="10"/>
      <c r="N1070" s="10"/>
      <c r="O1070" s="10"/>
      <c r="P1070" s="10"/>
      <c r="Q1070" s="10"/>
      <c r="R1070" s="10">
        <f>R1071+R1072</f>
        <v>81959.399999999994</v>
      </c>
      <c r="T1070" s="10">
        <f t="shared" si="306"/>
        <v>0</v>
      </c>
    </row>
    <row r="1071" spans="2:20" x14ac:dyDescent="0.25">
      <c r="B1071" s="97">
        <f t="shared" si="303"/>
        <v>283</v>
      </c>
      <c r="C1071" s="12"/>
      <c r="D1071" s="12"/>
      <c r="E1071" s="12"/>
      <c r="F1071" s="12"/>
      <c r="G1071" s="127"/>
      <c r="H1071" s="12" t="s">
        <v>524</v>
      </c>
      <c r="I1071" s="13"/>
      <c r="J1071" s="13"/>
      <c r="K1071" s="13"/>
      <c r="L1071" s="13"/>
      <c r="M1071" s="13"/>
      <c r="N1071" s="13"/>
      <c r="O1071" s="13"/>
      <c r="P1071" s="13"/>
      <c r="Q1071" s="13"/>
      <c r="R1071" s="13">
        <v>33576.839999999997</v>
      </c>
      <c r="T1071" s="13">
        <f t="shared" si="306"/>
        <v>0</v>
      </c>
    </row>
    <row r="1072" spans="2:20" x14ac:dyDescent="0.25">
      <c r="B1072" s="97">
        <f t="shared" si="303"/>
        <v>284</v>
      </c>
      <c r="C1072" s="12"/>
      <c r="D1072" s="12"/>
      <c r="E1072" s="12"/>
      <c r="F1072" s="12"/>
      <c r="G1072" s="127"/>
      <c r="H1072" s="12" t="s">
        <v>547</v>
      </c>
      <c r="I1072" s="13"/>
      <c r="J1072" s="13"/>
      <c r="K1072" s="13"/>
      <c r="L1072" s="13"/>
      <c r="M1072" s="13"/>
      <c r="N1072" s="13"/>
      <c r="O1072" s="13"/>
      <c r="P1072" s="13"/>
      <c r="Q1072" s="13"/>
      <c r="R1072" s="13">
        <v>48382.559999999998</v>
      </c>
      <c r="T1072" s="13">
        <f t="shared" si="306"/>
        <v>0</v>
      </c>
    </row>
    <row r="1073" spans="2:20" x14ac:dyDescent="0.25">
      <c r="B1073" s="97">
        <f t="shared" si="303"/>
        <v>285</v>
      </c>
      <c r="C1073" s="49"/>
      <c r="D1073" s="49"/>
      <c r="E1073" s="49">
        <v>4</v>
      </c>
      <c r="F1073" s="49"/>
      <c r="G1073" s="123"/>
      <c r="H1073" s="49" t="s">
        <v>100</v>
      </c>
      <c r="I1073" s="50">
        <f>I1074</f>
        <v>103513</v>
      </c>
      <c r="J1073" s="50">
        <f>J1074</f>
        <v>89578</v>
      </c>
      <c r="K1073" s="50">
        <f>K1074</f>
        <v>90088</v>
      </c>
      <c r="L1073" s="50">
        <f>L1074</f>
        <v>91503</v>
      </c>
      <c r="M1073" s="50">
        <f>M1074</f>
        <v>114171</v>
      </c>
      <c r="N1073" s="50">
        <v>0</v>
      </c>
      <c r="O1073" s="50">
        <f>O1074</f>
        <v>50000</v>
      </c>
      <c r="P1073" s="50">
        <f>P1074</f>
        <v>50000</v>
      </c>
      <c r="Q1073" s="50">
        <v>0</v>
      </c>
      <c r="R1073" s="50">
        <v>0</v>
      </c>
      <c r="T1073" s="50">
        <f t="shared" si="306"/>
        <v>103513</v>
      </c>
    </row>
    <row r="1074" spans="2:20" x14ac:dyDescent="0.25">
      <c r="B1074" s="97">
        <f t="shared" si="303"/>
        <v>286</v>
      </c>
      <c r="C1074" s="51"/>
      <c r="D1074" s="51"/>
      <c r="E1074" s="51" t="s">
        <v>132</v>
      </c>
      <c r="F1074" s="51"/>
      <c r="G1074" s="124"/>
      <c r="H1074" s="51" t="s">
        <v>133</v>
      </c>
      <c r="I1074" s="52">
        <f>I1075+I1076+I1077+I1084+I1085</f>
        <v>103513</v>
      </c>
      <c r="J1074" s="52">
        <f t="shared" ref="J1074:R1074" si="313">J1084+J1077+J1076+J1075</f>
        <v>89578</v>
      </c>
      <c r="K1074" s="52">
        <f t="shared" si="313"/>
        <v>90088</v>
      </c>
      <c r="L1074" s="52">
        <f t="shared" si="313"/>
        <v>91503</v>
      </c>
      <c r="M1074" s="52">
        <f>M1084+M1077+M1076+M1075+M1085</f>
        <v>114171</v>
      </c>
      <c r="N1074" s="52">
        <v>0</v>
      </c>
      <c r="O1074" s="52">
        <f>O1086</f>
        <v>50000</v>
      </c>
      <c r="P1074" s="52">
        <f>P1086</f>
        <v>50000</v>
      </c>
      <c r="Q1074" s="52">
        <f t="shared" si="313"/>
        <v>0</v>
      </c>
      <c r="R1074" s="52">
        <f t="shared" si="313"/>
        <v>0</v>
      </c>
      <c r="T1074" s="52">
        <f t="shared" si="306"/>
        <v>103513</v>
      </c>
    </row>
    <row r="1075" spans="2:20" x14ac:dyDescent="0.25">
      <c r="B1075" s="97">
        <f t="shared" si="303"/>
        <v>287</v>
      </c>
      <c r="C1075" s="29"/>
      <c r="D1075" s="29"/>
      <c r="E1075" s="29"/>
      <c r="F1075" s="53" t="s">
        <v>543</v>
      </c>
      <c r="G1075" s="125">
        <v>610</v>
      </c>
      <c r="H1075" s="29" t="s">
        <v>338</v>
      </c>
      <c r="I1075" s="15">
        <f>65220+500</f>
        <v>65720</v>
      </c>
      <c r="J1075" s="15">
        <v>58195</v>
      </c>
      <c r="K1075" s="15">
        <v>59510</v>
      </c>
      <c r="L1075" s="15">
        <v>56578</v>
      </c>
      <c r="M1075" s="15">
        <v>57969</v>
      </c>
      <c r="N1075" s="15"/>
      <c r="O1075" s="15"/>
      <c r="P1075" s="15"/>
      <c r="Q1075" s="15"/>
      <c r="R1075" s="15"/>
      <c r="T1075" s="15">
        <f t="shared" si="306"/>
        <v>65720</v>
      </c>
    </row>
    <row r="1076" spans="2:20" x14ac:dyDescent="0.25">
      <c r="B1076" s="97">
        <f t="shared" si="303"/>
        <v>288</v>
      </c>
      <c r="C1076" s="29"/>
      <c r="D1076" s="29"/>
      <c r="E1076" s="29"/>
      <c r="F1076" s="53" t="s">
        <v>543</v>
      </c>
      <c r="G1076" s="125">
        <v>620</v>
      </c>
      <c r="H1076" s="29" t="s">
        <v>313</v>
      </c>
      <c r="I1076" s="15">
        <f>23070+175</f>
        <v>23245</v>
      </c>
      <c r="J1076" s="15">
        <v>21605</v>
      </c>
      <c r="K1076" s="15">
        <v>20800</v>
      </c>
      <c r="L1076" s="15">
        <v>20483</v>
      </c>
      <c r="M1076" s="15">
        <v>22999</v>
      </c>
      <c r="N1076" s="15"/>
      <c r="O1076" s="15"/>
      <c r="P1076" s="15"/>
      <c r="Q1076" s="15"/>
      <c r="R1076" s="15"/>
      <c r="T1076" s="15">
        <f t="shared" si="306"/>
        <v>23245</v>
      </c>
    </row>
    <row r="1077" spans="2:20" x14ac:dyDescent="0.25">
      <c r="B1077" s="97">
        <f t="shared" si="303"/>
        <v>289</v>
      </c>
      <c r="C1077" s="29"/>
      <c r="D1077" s="29"/>
      <c r="E1077" s="29"/>
      <c r="F1077" s="53" t="s">
        <v>543</v>
      </c>
      <c r="G1077" s="125">
        <v>630</v>
      </c>
      <c r="H1077" s="29" t="s">
        <v>303</v>
      </c>
      <c r="I1077" s="15">
        <f>I1078+I1079+I1080+I1081+I1082+I1083</f>
        <v>14548</v>
      </c>
      <c r="J1077" s="15">
        <f t="shared" ref="J1077:M1077" si="314">J1083+J1082+J1081+J1080+J1079+J1078</f>
        <v>9778</v>
      </c>
      <c r="K1077" s="15">
        <f t="shared" si="314"/>
        <v>9778</v>
      </c>
      <c r="L1077" s="15">
        <f t="shared" si="314"/>
        <v>14236</v>
      </c>
      <c r="M1077" s="15">
        <f t="shared" si="314"/>
        <v>13442</v>
      </c>
      <c r="N1077" s="15"/>
      <c r="O1077" s="15"/>
      <c r="P1077" s="15"/>
      <c r="Q1077" s="15"/>
      <c r="R1077" s="15"/>
      <c r="T1077" s="15">
        <f t="shared" si="306"/>
        <v>14548</v>
      </c>
    </row>
    <row r="1078" spans="2:20" x14ac:dyDescent="0.25">
      <c r="B1078" s="97">
        <f t="shared" si="303"/>
        <v>290</v>
      </c>
      <c r="C1078" s="9"/>
      <c r="D1078" s="9"/>
      <c r="E1078" s="9"/>
      <c r="F1078" s="54" t="s">
        <v>543</v>
      </c>
      <c r="G1078" s="126">
        <v>632</v>
      </c>
      <c r="H1078" s="9" t="s">
        <v>314</v>
      </c>
      <c r="I1078" s="10">
        <v>6200</v>
      </c>
      <c r="J1078" s="10">
        <v>5690</v>
      </c>
      <c r="K1078" s="10">
        <v>5690</v>
      </c>
      <c r="L1078" s="10">
        <v>5109</v>
      </c>
      <c r="M1078" s="10">
        <v>5653</v>
      </c>
      <c r="N1078" s="10"/>
      <c r="O1078" s="10"/>
      <c r="P1078" s="10"/>
      <c r="Q1078" s="10"/>
      <c r="R1078" s="10"/>
      <c r="T1078" s="10">
        <f t="shared" si="306"/>
        <v>6200</v>
      </c>
    </row>
    <row r="1079" spans="2:20" x14ac:dyDescent="0.25">
      <c r="B1079" s="97">
        <f t="shared" si="303"/>
        <v>291</v>
      </c>
      <c r="C1079" s="9"/>
      <c r="D1079" s="9"/>
      <c r="E1079" s="9"/>
      <c r="F1079" s="54" t="s">
        <v>543</v>
      </c>
      <c r="G1079" s="126">
        <v>633</v>
      </c>
      <c r="H1079" s="9" t="s">
        <v>305</v>
      </c>
      <c r="I1079" s="10">
        <v>2538</v>
      </c>
      <c r="J1079" s="10">
        <v>1888</v>
      </c>
      <c r="K1079" s="10">
        <v>1888</v>
      </c>
      <c r="L1079" s="10">
        <v>6640</v>
      </c>
      <c r="M1079" s="10">
        <v>5893</v>
      </c>
      <c r="N1079" s="10"/>
      <c r="O1079" s="10"/>
      <c r="P1079" s="10"/>
      <c r="Q1079" s="10"/>
      <c r="R1079" s="10"/>
      <c r="T1079" s="10">
        <f t="shared" si="306"/>
        <v>2538</v>
      </c>
    </row>
    <row r="1080" spans="2:20" x14ac:dyDescent="0.25">
      <c r="B1080" s="97">
        <f t="shared" si="303"/>
        <v>292</v>
      </c>
      <c r="C1080" s="9"/>
      <c r="D1080" s="9"/>
      <c r="E1080" s="9"/>
      <c r="F1080" s="54" t="s">
        <v>543</v>
      </c>
      <c r="G1080" s="126">
        <v>634</v>
      </c>
      <c r="H1080" s="9" t="s">
        <v>306</v>
      </c>
      <c r="I1080" s="10">
        <v>230</v>
      </c>
      <c r="J1080" s="10">
        <v>0</v>
      </c>
      <c r="K1080" s="10">
        <v>0</v>
      </c>
      <c r="L1080" s="10">
        <v>0</v>
      </c>
      <c r="M1080" s="10">
        <v>0</v>
      </c>
      <c r="N1080" s="10"/>
      <c r="O1080" s="10"/>
      <c r="P1080" s="10"/>
      <c r="Q1080" s="10"/>
      <c r="R1080" s="10"/>
      <c r="T1080" s="10">
        <f t="shared" si="306"/>
        <v>230</v>
      </c>
    </row>
    <row r="1081" spans="2:20" x14ac:dyDescent="0.25">
      <c r="B1081" s="97">
        <f t="shared" si="303"/>
        <v>293</v>
      </c>
      <c r="C1081" s="9"/>
      <c r="D1081" s="9"/>
      <c r="E1081" s="9"/>
      <c r="F1081" s="54" t="s">
        <v>543</v>
      </c>
      <c r="G1081" s="126">
        <v>635</v>
      </c>
      <c r="H1081" s="9" t="s">
        <v>320</v>
      </c>
      <c r="I1081" s="10">
        <v>400</v>
      </c>
      <c r="J1081" s="10">
        <v>0</v>
      </c>
      <c r="K1081" s="10">
        <v>0</v>
      </c>
      <c r="L1081" s="10">
        <v>0</v>
      </c>
      <c r="M1081" s="10">
        <v>0</v>
      </c>
      <c r="N1081" s="10"/>
      <c r="O1081" s="10"/>
      <c r="P1081" s="10"/>
      <c r="Q1081" s="10"/>
      <c r="R1081" s="10"/>
      <c r="T1081" s="10">
        <f t="shared" si="306"/>
        <v>400</v>
      </c>
    </row>
    <row r="1082" spans="2:20" x14ac:dyDescent="0.25">
      <c r="B1082" s="97">
        <f t="shared" si="303"/>
        <v>294</v>
      </c>
      <c r="C1082" s="9"/>
      <c r="D1082" s="9"/>
      <c r="E1082" s="9"/>
      <c r="F1082" s="54" t="s">
        <v>543</v>
      </c>
      <c r="G1082" s="126">
        <v>636</v>
      </c>
      <c r="H1082" s="9" t="s">
        <v>307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/>
      <c r="O1082" s="10"/>
      <c r="P1082" s="10"/>
      <c r="Q1082" s="10"/>
      <c r="R1082" s="10"/>
      <c r="T1082" s="10">
        <f t="shared" si="306"/>
        <v>0</v>
      </c>
    </row>
    <row r="1083" spans="2:20" x14ac:dyDescent="0.25">
      <c r="B1083" s="97">
        <f t="shared" si="303"/>
        <v>295</v>
      </c>
      <c r="C1083" s="9"/>
      <c r="D1083" s="9"/>
      <c r="E1083" s="9"/>
      <c r="F1083" s="54" t="s">
        <v>543</v>
      </c>
      <c r="G1083" s="126">
        <v>637</v>
      </c>
      <c r="H1083" s="9" t="s">
        <v>308</v>
      </c>
      <c r="I1083" s="10">
        <v>5180</v>
      </c>
      <c r="J1083" s="10">
        <v>2200</v>
      </c>
      <c r="K1083" s="10">
        <v>2200</v>
      </c>
      <c r="L1083" s="10">
        <f>2280+207</f>
        <v>2487</v>
      </c>
      <c r="M1083" s="10">
        <v>1896</v>
      </c>
      <c r="N1083" s="10"/>
      <c r="O1083" s="10"/>
      <c r="P1083" s="10"/>
      <c r="Q1083" s="10"/>
      <c r="R1083" s="10"/>
      <c r="T1083" s="10">
        <f t="shared" si="306"/>
        <v>5180</v>
      </c>
    </row>
    <row r="1084" spans="2:20" x14ac:dyDescent="0.25">
      <c r="B1084" s="97">
        <f t="shared" si="303"/>
        <v>296</v>
      </c>
      <c r="C1084" s="29"/>
      <c r="D1084" s="29"/>
      <c r="E1084" s="29"/>
      <c r="F1084" s="53" t="s">
        <v>543</v>
      </c>
      <c r="G1084" s="125">
        <v>640</v>
      </c>
      <c r="H1084" s="29" t="s">
        <v>315</v>
      </c>
      <c r="I1084" s="15">
        <v>0</v>
      </c>
      <c r="J1084" s="15">
        <v>0</v>
      </c>
      <c r="K1084" s="15">
        <v>0</v>
      </c>
      <c r="L1084" s="15">
        <v>206</v>
      </c>
      <c r="M1084" s="15">
        <v>0</v>
      </c>
      <c r="N1084" s="15"/>
      <c r="O1084" s="15"/>
      <c r="P1084" s="15"/>
      <c r="Q1084" s="15"/>
      <c r="R1084" s="15"/>
      <c r="T1084" s="15">
        <f t="shared" si="306"/>
        <v>0</v>
      </c>
    </row>
    <row r="1085" spans="2:20" x14ac:dyDescent="0.25">
      <c r="B1085" s="97">
        <f t="shared" si="303"/>
        <v>297</v>
      </c>
      <c r="C1085" s="29"/>
      <c r="D1085" s="29"/>
      <c r="E1085" s="29"/>
      <c r="F1085" s="53" t="s">
        <v>543</v>
      </c>
      <c r="G1085" s="125">
        <v>630</v>
      </c>
      <c r="H1085" s="29" t="s">
        <v>539</v>
      </c>
      <c r="I1085" s="15">
        <v>0</v>
      </c>
      <c r="J1085" s="15"/>
      <c r="K1085" s="15"/>
      <c r="L1085" s="15"/>
      <c r="M1085" s="15">
        <v>19761</v>
      </c>
      <c r="N1085" s="15"/>
      <c r="O1085" s="15"/>
      <c r="P1085" s="15"/>
      <c r="Q1085" s="15"/>
      <c r="R1085" s="15"/>
      <c r="T1085" s="15">
        <f t="shared" si="306"/>
        <v>0</v>
      </c>
    </row>
    <row r="1086" spans="2:20" x14ac:dyDescent="0.25">
      <c r="B1086" s="97">
        <f t="shared" si="303"/>
        <v>298</v>
      </c>
      <c r="C1086" s="29"/>
      <c r="D1086" s="29"/>
      <c r="E1086" s="29"/>
      <c r="F1086" s="53" t="s">
        <v>543</v>
      </c>
      <c r="G1086" s="125">
        <v>710</v>
      </c>
      <c r="H1086" s="29" t="s">
        <v>321</v>
      </c>
      <c r="I1086" s="15"/>
      <c r="J1086" s="15"/>
      <c r="K1086" s="15"/>
      <c r="L1086" s="15"/>
      <c r="M1086" s="15"/>
      <c r="N1086" s="15"/>
      <c r="O1086" s="15">
        <f>O1087+O1089</f>
        <v>50000</v>
      </c>
      <c r="P1086" s="15">
        <f>P1087+P1089</f>
        <v>50000</v>
      </c>
      <c r="Q1086" s="15"/>
      <c r="R1086" s="15"/>
      <c r="T1086" s="15">
        <f t="shared" si="306"/>
        <v>0</v>
      </c>
    </row>
    <row r="1087" spans="2:20" x14ac:dyDescent="0.25">
      <c r="B1087" s="97">
        <f t="shared" si="303"/>
        <v>299</v>
      </c>
      <c r="C1087" s="9"/>
      <c r="D1087" s="9"/>
      <c r="E1087" s="9"/>
      <c r="F1087" s="54"/>
      <c r="G1087" s="126">
        <v>716</v>
      </c>
      <c r="H1087" s="9" t="s">
        <v>323</v>
      </c>
      <c r="I1087" s="10"/>
      <c r="J1087" s="10"/>
      <c r="K1087" s="10"/>
      <c r="L1087" s="10"/>
      <c r="M1087" s="10"/>
      <c r="N1087" s="10"/>
      <c r="O1087" s="10">
        <f>O1088</f>
        <v>3000</v>
      </c>
      <c r="P1087" s="10">
        <f>P1088</f>
        <v>3000</v>
      </c>
      <c r="Q1087" s="10"/>
      <c r="R1087" s="10"/>
      <c r="T1087" s="10">
        <f t="shared" si="306"/>
        <v>0</v>
      </c>
    </row>
    <row r="1088" spans="2:20" x14ac:dyDescent="0.25">
      <c r="B1088" s="97">
        <f t="shared" si="303"/>
        <v>300</v>
      </c>
      <c r="C1088" s="12"/>
      <c r="D1088" s="12"/>
      <c r="E1088" s="12"/>
      <c r="F1088" s="12"/>
      <c r="G1088" s="127"/>
      <c r="H1088" s="12" t="s">
        <v>545</v>
      </c>
      <c r="I1088" s="13"/>
      <c r="J1088" s="13"/>
      <c r="K1088" s="13"/>
      <c r="L1088" s="13"/>
      <c r="M1088" s="13"/>
      <c r="N1088" s="13"/>
      <c r="O1088" s="13">
        <v>3000</v>
      </c>
      <c r="P1088" s="13">
        <v>3000</v>
      </c>
      <c r="Q1088" s="13"/>
      <c r="R1088" s="13"/>
      <c r="T1088" s="13">
        <f t="shared" si="306"/>
        <v>0</v>
      </c>
    </row>
    <row r="1089" spans="2:20" x14ac:dyDescent="0.25">
      <c r="B1089" s="97">
        <f t="shared" si="303"/>
        <v>301</v>
      </c>
      <c r="C1089" s="9"/>
      <c r="D1089" s="9"/>
      <c r="E1089" s="9"/>
      <c r="F1089" s="54"/>
      <c r="G1089" s="126">
        <v>717</v>
      </c>
      <c r="H1089" s="9" t="s">
        <v>327</v>
      </c>
      <c r="I1089" s="10"/>
      <c r="J1089" s="10"/>
      <c r="K1089" s="10"/>
      <c r="L1089" s="10"/>
      <c r="M1089" s="10"/>
      <c r="N1089" s="10"/>
      <c r="O1089" s="10">
        <f>SUM(O1090:O1094)</f>
        <v>47000</v>
      </c>
      <c r="P1089" s="10">
        <f>SUM(P1090:P1094)</f>
        <v>47000</v>
      </c>
      <c r="Q1089" s="10"/>
      <c r="R1089" s="10"/>
      <c r="T1089" s="10">
        <f t="shared" si="306"/>
        <v>0</v>
      </c>
    </row>
    <row r="1090" spans="2:20" x14ac:dyDescent="0.25">
      <c r="B1090" s="97">
        <f t="shared" si="303"/>
        <v>302</v>
      </c>
      <c r="C1090" s="12"/>
      <c r="D1090" s="12"/>
      <c r="E1090" s="12"/>
      <c r="F1090" s="12"/>
      <c r="G1090" s="127"/>
      <c r="H1090" s="12" t="s">
        <v>545</v>
      </c>
      <c r="I1090" s="13"/>
      <c r="J1090" s="13"/>
      <c r="K1090" s="13"/>
      <c r="L1090" s="13"/>
      <c r="M1090" s="13"/>
      <c r="N1090" s="13"/>
      <c r="O1090" s="13">
        <v>47000</v>
      </c>
      <c r="P1090" s="13">
        <v>47000</v>
      </c>
      <c r="Q1090" s="13"/>
      <c r="R1090" s="13"/>
      <c r="T1090" s="13">
        <f t="shared" si="306"/>
        <v>0</v>
      </c>
    </row>
    <row r="1091" spans="2:20" x14ac:dyDescent="0.25">
      <c r="B1091" s="97">
        <f t="shared" si="303"/>
        <v>303</v>
      </c>
      <c r="C1091" s="49"/>
      <c r="D1091" s="49"/>
      <c r="E1091" s="49">
        <v>6</v>
      </c>
      <c r="F1091" s="49"/>
      <c r="G1091" s="123"/>
      <c r="H1091" s="49" t="s">
        <v>184</v>
      </c>
      <c r="I1091" s="50">
        <f>I1092</f>
        <v>800066</v>
      </c>
      <c r="J1091" s="50">
        <f t="shared" ref="J1091:R1091" si="315">J1092</f>
        <v>727715</v>
      </c>
      <c r="K1091" s="50">
        <f t="shared" si="315"/>
        <v>742382</v>
      </c>
      <c r="L1091" s="50">
        <f t="shared" si="315"/>
        <v>687064</v>
      </c>
      <c r="M1091" s="50">
        <f t="shared" si="315"/>
        <v>714676</v>
      </c>
      <c r="N1091" s="50">
        <v>0</v>
      </c>
      <c r="O1091" s="50">
        <f t="shared" si="315"/>
        <v>0</v>
      </c>
      <c r="P1091" s="50">
        <f t="shared" si="315"/>
        <v>0</v>
      </c>
      <c r="Q1091" s="50">
        <f t="shared" si="315"/>
        <v>0</v>
      </c>
      <c r="R1091" s="50">
        <f t="shared" si="315"/>
        <v>0</v>
      </c>
      <c r="T1091" s="50">
        <f t="shared" si="306"/>
        <v>800066</v>
      </c>
    </row>
    <row r="1092" spans="2:20" ht="15" hidden="1" customHeight="1" x14ac:dyDescent="0.25">
      <c r="B1092" s="97">
        <f t="shared" si="303"/>
        <v>304</v>
      </c>
      <c r="C1092" s="51"/>
      <c r="D1092" s="51"/>
      <c r="E1092" s="51" t="s">
        <v>60</v>
      </c>
      <c r="F1092" s="51"/>
      <c r="G1092" s="124"/>
      <c r="H1092" s="51"/>
      <c r="I1092" s="52">
        <f>I1093+I1094+I1095+I1102+I1103+I1104+I1105+I1112+I1113+I1115</f>
        <v>800066</v>
      </c>
      <c r="J1092" s="52">
        <f t="shared" ref="J1092:M1092" si="316">J1093+J1094+J1095+J1102+J1103+J1104+J1105+J1112+J1113+J1115</f>
        <v>727715</v>
      </c>
      <c r="K1092" s="52">
        <f t="shared" si="316"/>
        <v>742382</v>
      </c>
      <c r="L1092" s="52">
        <f t="shared" si="316"/>
        <v>687064</v>
      </c>
      <c r="M1092" s="52">
        <f t="shared" si="316"/>
        <v>714676</v>
      </c>
      <c r="N1092" s="52">
        <v>0</v>
      </c>
      <c r="O1092" s="52">
        <v>0</v>
      </c>
      <c r="P1092" s="52">
        <v>0</v>
      </c>
      <c r="Q1092" s="52">
        <v>0</v>
      </c>
      <c r="R1092" s="52">
        <v>0</v>
      </c>
      <c r="T1092" s="52">
        <f t="shared" si="306"/>
        <v>800066</v>
      </c>
    </row>
    <row r="1093" spans="2:20" x14ac:dyDescent="0.25">
      <c r="B1093" s="97">
        <f t="shared" si="303"/>
        <v>305</v>
      </c>
      <c r="C1093" s="29"/>
      <c r="D1093" s="29"/>
      <c r="E1093" s="29"/>
      <c r="F1093" s="53" t="s">
        <v>543</v>
      </c>
      <c r="G1093" s="125">
        <v>610</v>
      </c>
      <c r="H1093" s="29" t="s">
        <v>338</v>
      </c>
      <c r="I1093" s="15">
        <v>217474</v>
      </c>
      <c r="J1093" s="15">
        <v>201972</v>
      </c>
      <c r="K1093" s="15">
        <v>201972</v>
      </c>
      <c r="L1093" s="15">
        <v>191443</v>
      </c>
      <c r="M1093" s="15">
        <v>390691</v>
      </c>
      <c r="N1093" s="15"/>
      <c r="O1093" s="15"/>
      <c r="P1093" s="15"/>
      <c r="Q1093" s="15"/>
      <c r="R1093" s="15"/>
      <c r="T1093" s="15">
        <f t="shared" si="306"/>
        <v>217474</v>
      </c>
    </row>
    <row r="1094" spans="2:20" x14ac:dyDescent="0.25">
      <c r="B1094" s="97">
        <f t="shared" si="303"/>
        <v>306</v>
      </c>
      <c r="C1094" s="29"/>
      <c r="D1094" s="29"/>
      <c r="E1094" s="29"/>
      <c r="F1094" s="53" t="s">
        <v>543</v>
      </c>
      <c r="G1094" s="125">
        <v>620</v>
      </c>
      <c r="H1094" s="29" t="s">
        <v>313</v>
      </c>
      <c r="I1094" s="15">
        <v>73387</v>
      </c>
      <c r="J1094" s="15">
        <v>67964</v>
      </c>
      <c r="K1094" s="15">
        <v>67964</v>
      </c>
      <c r="L1094" s="15">
        <v>70059</v>
      </c>
      <c r="M1094" s="15">
        <v>138633</v>
      </c>
      <c r="N1094" s="15"/>
      <c r="O1094" s="15"/>
      <c r="P1094" s="15"/>
      <c r="Q1094" s="15"/>
      <c r="R1094" s="15"/>
      <c r="T1094" s="15">
        <f t="shared" si="306"/>
        <v>73387</v>
      </c>
    </row>
    <row r="1095" spans="2:20" x14ac:dyDescent="0.25">
      <c r="B1095" s="97">
        <f t="shared" si="303"/>
        <v>307</v>
      </c>
      <c r="C1095" s="29"/>
      <c r="D1095" s="29"/>
      <c r="E1095" s="29"/>
      <c r="F1095" s="53" t="s">
        <v>543</v>
      </c>
      <c r="G1095" s="125">
        <v>630</v>
      </c>
      <c r="H1095" s="29" t="s">
        <v>303</v>
      </c>
      <c r="I1095" s="15">
        <f>I1096+I1097+I1098+I1099+I1100+I1101</f>
        <v>70934</v>
      </c>
      <c r="J1095" s="15">
        <f t="shared" ref="J1095:M1095" si="317">J1101+J1100+J1099+J1098+J1097+J1096</f>
        <v>62088</v>
      </c>
      <c r="K1095" s="15">
        <f t="shared" si="317"/>
        <v>62088</v>
      </c>
      <c r="L1095" s="15">
        <f t="shared" si="317"/>
        <v>51601</v>
      </c>
      <c r="M1095" s="15">
        <f t="shared" si="317"/>
        <v>89936</v>
      </c>
      <c r="N1095" s="15"/>
      <c r="O1095" s="15"/>
      <c r="P1095" s="15"/>
      <c r="Q1095" s="15"/>
      <c r="R1095" s="15"/>
      <c r="T1095" s="15">
        <f t="shared" si="306"/>
        <v>70934</v>
      </c>
    </row>
    <row r="1096" spans="2:20" x14ac:dyDescent="0.25">
      <c r="B1096" s="97">
        <f t="shared" si="303"/>
        <v>308</v>
      </c>
      <c r="C1096" s="9"/>
      <c r="D1096" s="9"/>
      <c r="E1096" s="9"/>
      <c r="F1096" s="54" t="s">
        <v>543</v>
      </c>
      <c r="G1096" s="126">
        <v>631</v>
      </c>
      <c r="H1096" s="9" t="s">
        <v>304</v>
      </c>
      <c r="I1096" s="10">
        <v>237</v>
      </c>
      <c r="J1096" s="10">
        <v>224</v>
      </c>
      <c r="K1096" s="10">
        <v>224</v>
      </c>
      <c r="L1096" s="10">
        <v>44</v>
      </c>
      <c r="M1096" s="10">
        <v>25</v>
      </c>
      <c r="N1096" s="10"/>
      <c r="O1096" s="10"/>
      <c r="P1096" s="10"/>
      <c r="Q1096" s="10"/>
      <c r="R1096" s="10"/>
      <c r="T1096" s="10">
        <f t="shared" si="306"/>
        <v>237</v>
      </c>
    </row>
    <row r="1097" spans="2:20" x14ac:dyDescent="0.25">
      <c r="B1097" s="97">
        <f t="shared" si="303"/>
        <v>309</v>
      </c>
      <c r="C1097" s="9"/>
      <c r="D1097" s="97"/>
      <c r="E1097" s="9"/>
      <c r="F1097" s="54" t="s">
        <v>543</v>
      </c>
      <c r="G1097" s="126">
        <v>632</v>
      </c>
      <c r="H1097" s="9" t="s">
        <v>314</v>
      </c>
      <c r="I1097" s="10">
        <v>38782</v>
      </c>
      <c r="J1097" s="10">
        <v>36587</v>
      </c>
      <c r="K1097" s="10">
        <v>36587</v>
      </c>
      <c r="L1097" s="10">
        <v>33884</v>
      </c>
      <c r="M1097" s="10">
        <v>58051</v>
      </c>
      <c r="N1097" s="10"/>
      <c r="O1097" s="10"/>
      <c r="P1097" s="10"/>
      <c r="Q1097" s="10"/>
      <c r="R1097" s="10"/>
      <c r="T1097" s="10">
        <f t="shared" si="306"/>
        <v>38782</v>
      </c>
    </row>
    <row r="1098" spans="2:20" x14ac:dyDescent="0.25">
      <c r="B1098" s="97">
        <f t="shared" si="303"/>
        <v>310</v>
      </c>
      <c r="C1098" s="9"/>
      <c r="D1098" s="9"/>
      <c r="E1098" s="9"/>
      <c r="F1098" s="54" t="s">
        <v>543</v>
      </c>
      <c r="G1098" s="126">
        <v>633</v>
      </c>
      <c r="H1098" s="9" t="s">
        <v>305</v>
      </c>
      <c r="I1098" s="10">
        <v>10077</v>
      </c>
      <c r="J1098" s="10">
        <v>9552</v>
      </c>
      <c r="K1098" s="10">
        <v>9552</v>
      </c>
      <c r="L1098" s="10">
        <v>7288</v>
      </c>
      <c r="M1098" s="10">
        <f>11759</f>
        <v>11759</v>
      </c>
      <c r="N1098" s="10"/>
      <c r="O1098" s="10"/>
      <c r="P1098" s="10"/>
      <c r="Q1098" s="10"/>
      <c r="R1098" s="10"/>
      <c r="T1098" s="10">
        <f t="shared" si="306"/>
        <v>10077</v>
      </c>
    </row>
    <row r="1099" spans="2:20" x14ac:dyDescent="0.25">
      <c r="B1099" s="97">
        <f t="shared" si="303"/>
        <v>311</v>
      </c>
      <c r="C1099" s="9"/>
      <c r="D1099" s="9"/>
      <c r="E1099" s="9"/>
      <c r="F1099" s="54" t="s">
        <v>543</v>
      </c>
      <c r="G1099" s="126">
        <v>634</v>
      </c>
      <c r="H1099" s="9" t="s">
        <v>306</v>
      </c>
      <c r="I1099" s="10">
        <v>987</v>
      </c>
      <c r="J1099" s="10">
        <v>0</v>
      </c>
      <c r="K1099" s="10"/>
      <c r="L1099" s="10">
        <v>0</v>
      </c>
      <c r="M1099" s="10">
        <v>0</v>
      </c>
      <c r="N1099" s="10"/>
      <c r="O1099" s="10"/>
      <c r="P1099" s="10"/>
      <c r="Q1099" s="10"/>
      <c r="R1099" s="10"/>
      <c r="T1099" s="10">
        <f t="shared" si="306"/>
        <v>987</v>
      </c>
    </row>
    <row r="1100" spans="2:20" x14ac:dyDescent="0.25">
      <c r="B1100" s="97">
        <f t="shared" si="303"/>
        <v>312</v>
      </c>
      <c r="C1100" s="9"/>
      <c r="D1100" s="9"/>
      <c r="E1100" s="9"/>
      <c r="F1100" s="54" t="s">
        <v>543</v>
      </c>
      <c r="G1100" s="126">
        <v>635</v>
      </c>
      <c r="H1100" s="9" t="s">
        <v>320</v>
      </c>
      <c r="I1100" s="10">
        <f>5934</f>
        <v>5934</v>
      </c>
      <c r="J1100" s="10">
        <v>5598</v>
      </c>
      <c r="K1100" s="10">
        <v>5598</v>
      </c>
      <c r="L1100" s="10">
        <v>3550</v>
      </c>
      <c r="M1100" s="10">
        <v>4525</v>
      </c>
      <c r="N1100" s="10"/>
      <c r="O1100" s="10"/>
      <c r="P1100" s="10"/>
      <c r="Q1100" s="10"/>
      <c r="R1100" s="10"/>
      <c r="T1100" s="10">
        <f t="shared" si="306"/>
        <v>5934</v>
      </c>
    </row>
    <row r="1101" spans="2:20" x14ac:dyDescent="0.25">
      <c r="B1101" s="97">
        <f t="shared" si="303"/>
        <v>313</v>
      </c>
      <c r="C1101" s="9"/>
      <c r="D1101" s="9"/>
      <c r="E1101" s="9"/>
      <c r="F1101" s="54" t="s">
        <v>543</v>
      </c>
      <c r="G1101" s="126">
        <v>637</v>
      </c>
      <c r="H1101" s="9" t="s">
        <v>308</v>
      </c>
      <c r="I1101" s="10">
        <v>14917</v>
      </c>
      <c r="J1101" s="10">
        <v>10127</v>
      </c>
      <c r="K1101" s="10">
        <v>10127</v>
      </c>
      <c r="L1101" s="10">
        <v>6835</v>
      </c>
      <c r="M1101" s="10">
        <v>15576</v>
      </c>
      <c r="N1101" s="10"/>
      <c r="O1101" s="10"/>
      <c r="P1101" s="10"/>
      <c r="Q1101" s="10"/>
      <c r="R1101" s="10"/>
      <c r="T1101" s="10">
        <f t="shared" si="306"/>
        <v>14917</v>
      </c>
    </row>
    <row r="1102" spans="2:20" x14ac:dyDescent="0.25">
      <c r="B1102" s="97">
        <f t="shared" si="303"/>
        <v>314</v>
      </c>
      <c r="C1102" s="29"/>
      <c r="D1102" s="29"/>
      <c r="E1102" s="29"/>
      <c r="F1102" s="53" t="s">
        <v>543</v>
      </c>
      <c r="G1102" s="125">
        <v>640</v>
      </c>
      <c r="H1102" s="29" t="s">
        <v>315</v>
      </c>
      <c r="I1102" s="15">
        <v>128</v>
      </c>
      <c r="J1102" s="15">
        <v>121</v>
      </c>
      <c r="K1102" s="15">
        <v>121</v>
      </c>
      <c r="L1102" s="15">
        <v>3259</v>
      </c>
      <c r="M1102" s="15">
        <f>129+2232+575</f>
        <v>2936</v>
      </c>
      <c r="N1102" s="15"/>
      <c r="O1102" s="15"/>
      <c r="P1102" s="15"/>
      <c r="Q1102" s="15"/>
      <c r="R1102" s="15"/>
      <c r="T1102" s="15">
        <f t="shared" si="306"/>
        <v>128</v>
      </c>
    </row>
    <row r="1103" spans="2:20" x14ac:dyDescent="0.25">
      <c r="B1103" s="97">
        <f t="shared" si="303"/>
        <v>315</v>
      </c>
      <c r="C1103" s="29"/>
      <c r="D1103" s="29"/>
      <c r="E1103" s="29"/>
      <c r="F1103" s="53" t="s">
        <v>546</v>
      </c>
      <c r="G1103" s="125">
        <v>610</v>
      </c>
      <c r="H1103" s="29" t="s">
        <v>338</v>
      </c>
      <c r="I1103" s="15">
        <v>272556</v>
      </c>
      <c r="J1103" s="15">
        <v>250723</v>
      </c>
      <c r="K1103" s="15">
        <v>250774</v>
      </c>
      <c r="L1103" s="15">
        <v>236692</v>
      </c>
      <c r="M1103" s="15">
        <v>0</v>
      </c>
      <c r="N1103" s="15"/>
      <c r="O1103" s="15"/>
      <c r="P1103" s="15"/>
      <c r="Q1103" s="15"/>
      <c r="R1103" s="15"/>
      <c r="T1103" s="15">
        <f t="shared" si="306"/>
        <v>272556</v>
      </c>
    </row>
    <row r="1104" spans="2:20" x14ac:dyDescent="0.25">
      <c r="B1104" s="97">
        <f t="shared" si="303"/>
        <v>316</v>
      </c>
      <c r="C1104" s="29"/>
      <c r="D1104" s="29"/>
      <c r="E1104" s="29"/>
      <c r="F1104" s="53" t="s">
        <v>546</v>
      </c>
      <c r="G1104" s="125">
        <v>620</v>
      </c>
      <c r="H1104" s="29" t="s">
        <v>313</v>
      </c>
      <c r="I1104" s="15">
        <v>92058</v>
      </c>
      <c r="J1104" s="15">
        <v>84423</v>
      </c>
      <c r="K1104" s="15">
        <v>84444</v>
      </c>
      <c r="L1104" s="15">
        <v>78540</v>
      </c>
      <c r="M1104" s="15">
        <v>0</v>
      </c>
      <c r="N1104" s="15"/>
      <c r="O1104" s="15"/>
      <c r="P1104" s="15"/>
      <c r="Q1104" s="15"/>
      <c r="R1104" s="15"/>
      <c r="T1104" s="15">
        <f t="shared" si="306"/>
        <v>92058</v>
      </c>
    </row>
    <row r="1105" spans="2:20" x14ac:dyDescent="0.25">
      <c r="B1105" s="97">
        <f t="shared" si="303"/>
        <v>317</v>
      </c>
      <c r="C1105" s="29"/>
      <c r="D1105" s="29"/>
      <c r="E1105" s="29"/>
      <c r="F1105" s="53" t="s">
        <v>546</v>
      </c>
      <c r="G1105" s="125">
        <v>630</v>
      </c>
      <c r="H1105" s="29" t="s">
        <v>303</v>
      </c>
      <c r="I1105" s="15">
        <f>I1106+I1107+I1108+I1109+I1110+I1111</f>
        <v>73373</v>
      </c>
      <c r="J1105" s="15">
        <f t="shared" ref="J1105:M1105" si="318">J1111+J1110+J1109+J1108+J1107+J1106</f>
        <v>60277</v>
      </c>
      <c r="K1105" s="15">
        <v>66277</v>
      </c>
      <c r="L1105" s="15">
        <f t="shared" si="318"/>
        <v>44042</v>
      </c>
      <c r="M1105" s="15">
        <f t="shared" si="318"/>
        <v>0</v>
      </c>
      <c r="N1105" s="15"/>
      <c r="O1105" s="15"/>
      <c r="P1105" s="15"/>
      <c r="Q1105" s="15"/>
      <c r="R1105" s="15"/>
      <c r="T1105" s="15">
        <f t="shared" si="306"/>
        <v>73373</v>
      </c>
    </row>
    <row r="1106" spans="2:20" x14ac:dyDescent="0.25">
      <c r="B1106" s="97">
        <f t="shared" si="303"/>
        <v>318</v>
      </c>
      <c r="C1106" s="9"/>
      <c r="D1106" s="9"/>
      <c r="E1106" s="9"/>
      <c r="F1106" s="54" t="s">
        <v>546</v>
      </c>
      <c r="G1106" s="126">
        <v>631</v>
      </c>
      <c r="H1106" s="9" t="s">
        <v>304</v>
      </c>
      <c r="I1106" s="10">
        <v>195</v>
      </c>
      <c r="J1106" s="10">
        <v>184</v>
      </c>
      <c r="K1106" s="10">
        <v>184</v>
      </c>
      <c r="L1106" s="10">
        <v>36</v>
      </c>
      <c r="M1106" s="10">
        <v>0</v>
      </c>
      <c r="N1106" s="10"/>
      <c r="O1106" s="10"/>
      <c r="P1106" s="10"/>
      <c r="Q1106" s="10"/>
      <c r="R1106" s="10"/>
      <c r="T1106" s="10">
        <f t="shared" si="306"/>
        <v>195</v>
      </c>
    </row>
    <row r="1107" spans="2:20" x14ac:dyDescent="0.25">
      <c r="B1107" s="97">
        <f t="shared" si="303"/>
        <v>319</v>
      </c>
      <c r="C1107" s="9"/>
      <c r="D1107" s="9"/>
      <c r="E1107" s="9"/>
      <c r="F1107" s="54" t="s">
        <v>546</v>
      </c>
      <c r="G1107" s="126">
        <v>632</v>
      </c>
      <c r="H1107" s="9" t="s">
        <v>314</v>
      </c>
      <c r="I1107" s="10">
        <v>32714</v>
      </c>
      <c r="J1107" s="10">
        <v>30862</v>
      </c>
      <c r="K1107" s="10">
        <v>30862</v>
      </c>
      <c r="L1107" s="10">
        <v>26991</v>
      </c>
      <c r="M1107" s="10">
        <v>0</v>
      </c>
      <c r="N1107" s="10"/>
      <c r="O1107" s="10"/>
      <c r="P1107" s="10"/>
      <c r="Q1107" s="10"/>
      <c r="R1107" s="10"/>
      <c r="T1107" s="10">
        <f t="shared" si="306"/>
        <v>32714</v>
      </c>
    </row>
    <row r="1108" spans="2:20" x14ac:dyDescent="0.25">
      <c r="B1108" s="97">
        <f t="shared" si="303"/>
        <v>320</v>
      </c>
      <c r="C1108" s="9"/>
      <c r="D1108" s="9"/>
      <c r="E1108" s="9"/>
      <c r="F1108" s="54" t="s">
        <v>546</v>
      </c>
      <c r="G1108" s="126">
        <v>633</v>
      </c>
      <c r="H1108" s="9" t="s">
        <v>305</v>
      </c>
      <c r="I1108" s="10">
        <v>16006</v>
      </c>
      <c r="J1108" s="10">
        <v>15241</v>
      </c>
      <c r="K1108" s="10">
        <v>15241</v>
      </c>
      <c r="L1108" s="10">
        <v>6121</v>
      </c>
      <c r="M1108" s="10">
        <v>0</v>
      </c>
      <c r="N1108" s="10"/>
      <c r="O1108" s="10"/>
      <c r="P1108" s="10"/>
      <c r="Q1108" s="10"/>
      <c r="R1108" s="10"/>
      <c r="T1108" s="10">
        <f t="shared" si="306"/>
        <v>16006</v>
      </c>
    </row>
    <row r="1109" spans="2:20" x14ac:dyDescent="0.25">
      <c r="B1109" s="97">
        <f t="shared" si="303"/>
        <v>321</v>
      </c>
      <c r="C1109" s="9"/>
      <c r="D1109" s="9"/>
      <c r="E1109" s="9"/>
      <c r="F1109" s="54" t="s">
        <v>546</v>
      </c>
      <c r="G1109" s="126">
        <v>634</v>
      </c>
      <c r="H1109" s="9" t="s">
        <v>306</v>
      </c>
      <c r="I1109" s="10">
        <v>2337</v>
      </c>
      <c r="J1109" s="10">
        <v>0</v>
      </c>
      <c r="K1109" s="10">
        <v>2337</v>
      </c>
      <c r="L1109" s="10">
        <v>0</v>
      </c>
      <c r="M1109" s="10">
        <v>0</v>
      </c>
      <c r="N1109" s="10"/>
      <c r="O1109" s="10"/>
      <c r="P1109" s="10"/>
      <c r="Q1109" s="10"/>
      <c r="R1109" s="10"/>
      <c r="T1109" s="10">
        <f t="shared" si="306"/>
        <v>2337</v>
      </c>
    </row>
    <row r="1110" spans="2:20" x14ac:dyDescent="0.25">
      <c r="B1110" s="97">
        <f t="shared" ref="B1110:B1173" si="319">B1109+1</f>
        <v>322</v>
      </c>
      <c r="C1110" s="9"/>
      <c r="D1110" s="9"/>
      <c r="E1110" s="9"/>
      <c r="F1110" s="54" t="s">
        <v>546</v>
      </c>
      <c r="G1110" s="126">
        <v>635</v>
      </c>
      <c r="H1110" s="9" t="s">
        <v>320</v>
      </c>
      <c r="I1110" s="10">
        <f>4613+3900</f>
        <v>8513</v>
      </c>
      <c r="J1110" s="10">
        <v>4386</v>
      </c>
      <c r="K1110" s="10">
        <v>4386</v>
      </c>
      <c r="L1110" s="10">
        <v>2987</v>
      </c>
      <c r="M1110" s="10">
        <v>0</v>
      </c>
      <c r="N1110" s="10"/>
      <c r="O1110" s="10"/>
      <c r="P1110" s="10"/>
      <c r="Q1110" s="10"/>
      <c r="R1110" s="10"/>
      <c r="T1110" s="10">
        <f t="shared" si="306"/>
        <v>8513</v>
      </c>
    </row>
    <row r="1111" spans="2:20" x14ac:dyDescent="0.25">
      <c r="B1111" s="97">
        <f t="shared" si="319"/>
        <v>323</v>
      </c>
      <c r="C1111" s="9"/>
      <c r="D1111" s="9"/>
      <c r="E1111" s="9"/>
      <c r="F1111" s="54" t="s">
        <v>546</v>
      </c>
      <c r="G1111" s="126">
        <v>637</v>
      </c>
      <c r="H1111" s="9" t="s">
        <v>308</v>
      </c>
      <c r="I1111" s="10">
        <v>13608</v>
      </c>
      <c r="J1111" s="10">
        <v>9604</v>
      </c>
      <c r="K1111" s="10">
        <v>13367</v>
      </c>
      <c r="L1111" s="10">
        <v>7907</v>
      </c>
      <c r="M1111" s="10">
        <v>0</v>
      </c>
      <c r="N1111" s="10"/>
      <c r="O1111" s="10"/>
      <c r="P1111" s="10"/>
      <c r="Q1111" s="10"/>
      <c r="R1111" s="10"/>
      <c r="T1111" s="10">
        <f t="shared" si="306"/>
        <v>13608</v>
      </c>
    </row>
    <row r="1112" spans="2:20" x14ac:dyDescent="0.25">
      <c r="B1112" s="97">
        <f t="shared" si="319"/>
        <v>324</v>
      </c>
      <c r="C1112" s="29"/>
      <c r="D1112" s="29"/>
      <c r="E1112" s="29"/>
      <c r="F1112" s="53" t="s">
        <v>546</v>
      </c>
      <c r="G1112" s="125">
        <v>640</v>
      </c>
      <c r="H1112" s="29" t="s">
        <v>315</v>
      </c>
      <c r="I1112" s="15">
        <v>156</v>
      </c>
      <c r="J1112" s="15">
        <v>147</v>
      </c>
      <c r="K1112" s="15">
        <v>147</v>
      </c>
      <c r="L1112" s="15">
        <v>5476</v>
      </c>
      <c r="M1112" s="15">
        <v>0</v>
      </c>
      <c r="N1112" s="15"/>
      <c r="O1112" s="15"/>
      <c r="P1112" s="15"/>
      <c r="Q1112" s="15"/>
      <c r="R1112" s="15"/>
      <c r="T1112" s="15">
        <f t="shared" ref="T1112:T1175" si="320">I1112+N1112</f>
        <v>156</v>
      </c>
    </row>
    <row r="1113" spans="2:20" x14ac:dyDescent="0.25">
      <c r="B1113" s="97">
        <f t="shared" si="319"/>
        <v>325</v>
      </c>
      <c r="C1113" s="29"/>
      <c r="D1113" s="29"/>
      <c r="E1113" s="29"/>
      <c r="F1113" s="53" t="s">
        <v>551</v>
      </c>
      <c r="G1113" s="125">
        <v>630</v>
      </c>
      <c r="H1113" s="29" t="s">
        <v>303</v>
      </c>
      <c r="I1113" s="15">
        <f>I1114</f>
        <v>0</v>
      </c>
      <c r="J1113" s="15">
        <f t="shared" ref="J1113:M1113" si="321">J1114</f>
        <v>0</v>
      </c>
      <c r="K1113" s="15">
        <f t="shared" si="321"/>
        <v>19</v>
      </c>
      <c r="L1113" s="15">
        <f t="shared" si="321"/>
        <v>397</v>
      </c>
      <c r="M1113" s="15">
        <f t="shared" si="321"/>
        <v>0</v>
      </c>
      <c r="N1113" s="15"/>
      <c r="O1113" s="15"/>
      <c r="P1113" s="15"/>
      <c r="Q1113" s="15"/>
      <c r="R1113" s="15"/>
      <c r="T1113" s="15">
        <f t="shared" si="320"/>
        <v>0</v>
      </c>
    </row>
    <row r="1114" spans="2:20" x14ac:dyDescent="0.25">
      <c r="B1114" s="97">
        <f t="shared" si="319"/>
        <v>326</v>
      </c>
      <c r="C1114" s="9"/>
      <c r="D1114" s="9"/>
      <c r="E1114" s="9"/>
      <c r="F1114" s="54" t="s">
        <v>551</v>
      </c>
      <c r="G1114" s="126">
        <v>633</v>
      </c>
      <c r="H1114" s="9" t="s">
        <v>305</v>
      </c>
      <c r="I1114" s="10">
        <v>0</v>
      </c>
      <c r="J1114" s="10">
        <v>0</v>
      </c>
      <c r="K1114" s="10">
        <v>19</v>
      </c>
      <c r="L1114" s="10">
        <v>397</v>
      </c>
      <c r="M1114" s="10">
        <v>0</v>
      </c>
      <c r="N1114" s="10"/>
      <c r="O1114" s="10"/>
      <c r="P1114" s="10"/>
      <c r="Q1114" s="10"/>
      <c r="R1114" s="10"/>
      <c r="T1114" s="10">
        <f t="shared" si="320"/>
        <v>0</v>
      </c>
    </row>
    <row r="1115" spans="2:20" x14ac:dyDescent="0.25">
      <c r="B1115" s="97">
        <f t="shared" si="319"/>
        <v>327</v>
      </c>
      <c r="C1115" s="29"/>
      <c r="D1115" s="29"/>
      <c r="E1115" s="29"/>
      <c r="F1115" s="53"/>
      <c r="G1115" s="125">
        <v>630</v>
      </c>
      <c r="H1115" s="29" t="s">
        <v>539</v>
      </c>
      <c r="I1115" s="15">
        <v>0</v>
      </c>
      <c r="J1115" s="15"/>
      <c r="K1115" s="15">
        <v>8576</v>
      </c>
      <c r="L1115" s="15">
        <v>5555</v>
      </c>
      <c r="M1115" s="15">
        <f>21154+66613+4713</f>
        <v>92480</v>
      </c>
      <c r="N1115" s="15"/>
      <c r="O1115" s="15"/>
      <c r="P1115" s="15"/>
      <c r="Q1115" s="15"/>
      <c r="R1115" s="15"/>
      <c r="T1115" s="15">
        <f t="shared" si="320"/>
        <v>0</v>
      </c>
    </row>
    <row r="1116" spans="2:20" x14ac:dyDescent="0.25">
      <c r="B1116" s="97">
        <f t="shared" si="319"/>
        <v>328</v>
      </c>
      <c r="C1116" s="49"/>
      <c r="D1116" s="49"/>
      <c r="E1116" s="49">
        <v>7</v>
      </c>
      <c r="F1116" s="49"/>
      <c r="G1116" s="123"/>
      <c r="H1116" s="49" t="s">
        <v>185</v>
      </c>
      <c r="I1116" s="50">
        <f>I1117</f>
        <v>1097516</v>
      </c>
      <c r="J1116" s="50">
        <f t="shared" ref="J1116:M1116" si="322">J1117</f>
        <v>1019673</v>
      </c>
      <c r="K1116" s="50">
        <f t="shared" si="322"/>
        <v>1033559</v>
      </c>
      <c r="L1116" s="50">
        <f t="shared" si="322"/>
        <v>976565.07000000007</v>
      </c>
      <c r="M1116" s="50">
        <f t="shared" si="322"/>
        <v>995162</v>
      </c>
      <c r="N1116" s="50">
        <f>N1139</f>
        <v>17000</v>
      </c>
      <c r="O1116" s="50">
        <f t="shared" ref="O1116:R1116" si="323">O1139</f>
        <v>5000</v>
      </c>
      <c r="P1116" s="50">
        <f t="shared" si="323"/>
        <v>18000</v>
      </c>
      <c r="Q1116" s="50">
        <f t="shared" si="323"/>
        <v>93714</v>
      </c>
      <c r="R1116" s="50">
        <f t="shared" si="323"/>
        <v>33941</v>
      </c>
      <c r="T1116" s="50">
        <f t="shared" si="320"/>
        <v>1114516</v>
      </c>
    </row>
    <row r="1117" spans="2:20" ht="14.25" hidden="1" customHeight="1" x14ac:dyDescent="0.25">
      <c r="B1117" s="97">
        <f t="shared" si="319"/>
        <v>329</v>
      </c>
      <c r="C1117" s="51"/>
      <c r="D1117" s="51"/>
      <c r="E1117" s="51" t="s">
        <v>60</v>
      </c>
      <c r="F1117" s="51"/>
      <c r="G1117" s="124"/>
      <c r="H1117" s="51"/>
      <c r="I1117" s="52">
        <f>I1118+I1119+I1120+I1126+I1127+I1128+I1129+I1135+I1136+I1138</f>
        <v>1097516</v>
      </c>
      <c r="J1117" s="52">
        <f>J1136+J1135+J1129+J1128+J1127+J1126+J1120+J1119+J1118</f>
        <v>1019673</v>
      </c>
      <c r="K1117" s="52">
        <f>K1136+K1135+K1129+K1128+K1127+K1126+K1120+K1119+K1118+K1138</f>
        <v>1033559</v>
      </c>
      <c r="L1117" s="52">
        <f>L1136+L1135+L1129+L1128+L1127+L1126+L1120+L1119+L1118+L1138</f>
        <v>976565.07000000007</v>
      </c>
      <c r="M1117" s="52">
        <f>M1136+M1135+M1129+M1128+M1127+M1126+M1120+M1119+M1118+M1138</f>
        <v>995162</v>
      </c>
      <c r="N1117" s="52"/>
      <c r="O1117" s="52">
        <f>O1136+O1135+O1129+O1128+O1127+O1126+O1120+O1119+O1118</f>
        <v>0</v>
      </c>
      <c r="P1117" s="52">
        <f>P1136+P1135+P1129+P1128+P1127+P1126+P1120+P1119+P1118</f>
        <v>0</v>
      </c>
      <c r="Q1117" s="52">
        <f>Q1136+Q1135+Q1129+Q1128+Q1127+Q1126+Q1120+Q1119+Q1118</f>
        <v>0</v>
      </c>
      <c r="R1117" s="52">
        <f>R1136+R1135+R1129+R1128+R1127+R1126+R1120+R1119+R1118</f>
        <v>0</v>
      </c>
      <c r="T1117" s="52">
        <f t="shared" si="320"/>
        <v>1097516</v>
      </c>
    </row>
    <row r="1118" spans="2:20" x14ac:dyDescent="0.25">
      <c r="B1118" s="97">
        <f t="shared" si="319"/>
        <v>330</v>
      </c>
      <c r="C1118" s="29"/>
      <c r="D1118" s="29"/>
      <c r="E1118" s="29"/>
      <c r="F1118" s="53" t="s">
        <v>543</v>
      </c>
      <c r="G1118" s="125">
        <v>610</v>
      </c>
      <c r="H1118" s="29" t="s">
        <v>338</v>
      </c>
      <c r="I1118" s="15">
        <v>254699</v>
      </c>
      <c r="J1118" s="15">
        <v>240508</v>
      </c>
      <c r="K1118" s="15">
        <v>240508</v>
      </c>
      <c r="L1118" s="15">
        <v>237661</v>
      </c>
      <c r="M1118" s="15">
        <f>558284+400</f>
        <v>558684</v>
      </c>
      <c r="N1118" s="15"/>
      <c r="O1118" s="15"/>
      <c r="P1118" s="15"/>
      <c r="Q1118" s="15"/>
      <c r="R1118" s="15"/>
      <c r="T1118" s="15">
        <f t="shared" si="320"/>
        <v>254699</v>
      </c>
    </row>
    <row r="1119" spans="2:20" x14ac:dyDescent="0.25">
      <c r="B1119" s="97">
        <f t="shared" si="319"/>
        <v>331</v>
      </c>
      <c r="C1119" s="29"/>
      <c r="D1119" s="29"/>
      <c r="E1119" s="29"/>
      <c r="F1119" s="53" t="s">
        <v>543</v>
      </c>
      <c r="G1119" s="125">
        <v>620</v>
      </c>
      <c r="H1119" s="29" t="s">
        <v>313</v>
      </c>
      <c r="I1119" s="15">
        <v>89653</v>
      </c>
      <c r="J1119" s="15">
        <v>84658</v>
      </c>
      <c r="K1119" s="15">
        <v>84658</v>
      </c>
      <c r="L1119" s="15">
        <v>83581</v>
      </c>
      <c r="M1119" s="15">
        <v>196050</v>
      </c>
      <c r="N1119" s="15"/>
      <c r="O1119" s="15"/>
      <c r="P1119" s="15"/>
      <c r="Q1119" s="15"/>
      <c r="R1119" s="15"/>
      <c r="T1119" s="15">
        <f t="shared" si="320"/>
        <v>89653</v>
      </c>
    </row>
    <row r="1120" spans="2:20" x14ac:dyDescent="0.25">
      <c r="B1120" s="97">
        <f t="shared" si="319"/>
        <v>332</v>
      </c>
      <c r="C1120" s="29"/>
      <c r="D1120" s="29"/>
      <c r="E1120" s="29"/>
      <c r="F1120" s="53" t="s">
        <v>543</v>
      </c>
      <c r="G1120" s="125">
        <v>630</v>
      </c>
      <c r="H1120" s="29" t="s">
        <v>303</v>
      </c>
      <c r="I1120" s="15">
        <f>I1121+I1122+I1123+I1124+I1125</f>
        <v>85368</v>
      </c>
      <c r="J1120" s="15">
        <f t="shared" ref="J1120:M1120" si="324">J1125+J1124+J1123+J1122+J1121</f>
        <v>72307</v>
      </c>
      <c r="K1120" s="15">
        <f t="shared" si="324"/>
        <v>72307</v>
      </c>
      <c r="L1120" s="15">
        <f t="shared" si="324"/>
        <v>67848</v>
      </c>
      <c r="M1120" s="15">
        <f t="shared" si="324"/>
        <v>227235</v>
      </c>
      <c r="N1120" s="15"/>
      <c r="O1120" s="15"/>
      <c r="P1120" s="15"/>
      <c r="Q1120" s="15"/>
      <c r="R1120" s="15"/>
      <c r="T1120" s="15">
        <f t="shared" si="320"/>
        <v>85368</v>
      </c>
    </row>
    <row r="1121" spans="2:20" x14ac:dyDescent="0.25">
      <c r="B1121" s="97">
        <f t="shared" si="319"/>
        <v>333</v>
      </c>
      <c r="C1121" s="9"/>
      <c r="D1121" s="9"/>
      <c r="E1121" s="9"/>
      <c r="F1121" s="54" t="s">
        <v>543</v>
      </c>
      <c r="G1121" s="126">
        <v>631</v>
      </c>
      <c r="H1121" s="9" t="s">
        <v>304</v>
      </c>
      <c r="I1121" s="10">
        <v>113</v>
      </c>
      <c r="J1121" s="10">
        <v>113</v>
      </c>
      <c r="K1121" s="10">
        <v>113</v>
      </c>
      <c r="L1121" s="10">
        <v>30</v>
      </c>
      <c r="M1121" s="10">
        <v>104</v>
      </c>
      <c r="N1121" s="10"/>
      <c r="O1121" s="10"/>
      <c r="P1121" s="10"/>
      <c r="Q1121" s="10"/>
      <c r="R1121" s="10"/>
      <c r="T1121" s="10">
        <f t="shared" si="320"/>
        <v>113</v>
      </c>
    </row>
    <row r="1122" spans="2:20" x14ac:dyDescent="0.25">
      <c r="B1122" s="97">
        <f t="shared" si="319"/>
        <v>334</v>
      </c>
      <c r="C1122" s="9"/>
      <c r="D1122" s="9"/>
      <c r="E1122" s="9"/>
      <c r="F1122" s="54" t="s">
        <v>543</v>
      </c>
      <c r="G1122" s="126">
        <v>632</v>
      </c>
      <c r="H1122" s="9" t="s">
        <v>314</v>
      </c>
      <c r="I1122" s="10">
        <v>28541</v>
      </c>
      <c r="J1122" s="10">
        <v>24300</v>
      </c>
      <c r="K1122" s="10">
        <v>24300</v>
      </c>
      <c r="L1122" s="10">
        <v>21328</v>
      </c>
      <c r="M1122" s="10">
        <f>45286+14502</f>
        <v>59788</v>
      </c>
      <c r="N1122" s="10"/>
      <c r="O1122" s="10"/>
      <c r="P1122" s="10"/>
      <c r="Q1122" s="10"/>
      <c r="R1122" s="10"/>
      <c r="T1122" s="10">
        <f t="shared" si="320"/>
        <v>28541</v>
      </c>
    </row>
    <row r="1123" spans="2:20" x14ac:dyDescent="0.25">
      <c r="B1123" s="97">
        <f t="shared" si="319"/>
        <v>335</v>
      </c>
      <c r="C1123" s="9"/>
      <c r="D1123" s="9"/>
      <c r="E1123" s="9"/>
      <c r="F1123" s="54" t="s">
        <v>543</v>
      </c>
      <c r="G1123" s="126">
        <v>633</v>
      </c>
      <c r="H1123" s="9" t="s">
        <v>305</v>
      </c>
      <c r="I1123" s="10">
        <v>23414</v>
      </c>
      <c r="J1123" s="10">
        <v>23414</v>
      </c>
      <c r="K1123" s="10">
        <v>23414</v>
      </c>
      <c r="L1123" s="10">
        <v>17470</v>
      </c>
      <c r="M1123" s="10">
        <v>20558</v>
      </c>
      <c r="N1123" s="10"/>
      <c r="O1123" s="10"/>
      <c r="P1123" s="10"/>
      <c r="Q1123" s="10"/>
      <c r="R1123" s="10"/>
      <c r="T1123" s="10">
        <f t="shared" si="320"/>
        <v>23414</v>
      </c>
    </row>
    <row r="1124" spans="2:20" x14ac:dyDescent="0.25">
      <c r="B1124" s="97">
        <f t="shared" si="319"/>
        <v>336</v>
      </c>
      <c r="C1124" s="9"/>
      <c r="D1124" s="9"/>
      <c r="E1124" s="9"/>
      <c r="F1124" s="54" t="s">
        <v>543</v>
      </c>
      <c r="G1124" s="126">
        <v>635</v>
      </c>
      <c r="H1124" s="9" t="s">
        <v>320</v>
      </c>
      <c r="I1124" s="10">
        <v>10350</v>
      </c>
      <c r="J1124" s="10">
        <v>10350</v>
      </c>
      <c r="K1124" s="10">
        <v>10350</v>
      </c>
      <c r="L1124" s="10">
        <v>15368</v>
      </c>
      <c r="M1124" s="10">
        <v>115600</v>
      </c>
      <c r="N1124" s="10"/>
      <c r="O1124" s="10"/>
      <c r="P1124" s="10"/>
      <c r="Q1124" s="10"/>
      <c r="R1124" s="10"/>
      <c r="T1124" s="10">
        <f t="shared" si="320"/>
        <v>10350</v>
      </c>
    </row>
    <row r="1125" spans="2:20" x14ac:dyDescent="0.25">
      <c r="B1125" s="97">
        <f t="shared" si="319"/>
        <v>337</v>
      </c>
      <c r="C1125" s="9"/>
      <c r="D1125" s="9"/>
      <c r="E1125" s="9"/>
      <c r="F1125" s="54" t="s">
        <v>543</v>
      </c>
      <c r="G1125" s="126">
        <v>637</v>
      </c>
      <c r="H1125" s="9" t="s">
        <v>308</v>
      </c>
      <c r="I1125" s="10">
        <v>22950</v>
      </c>
      <c r="J1125" s="10">
        <v>14130</v>
      </c>
      <c r="K1125" s="10">
        <v>14130</v>
      </c>
      <c r="L1125" s="10">
        <v>13652</v>
      </c>
      <c r="M1125" s="10">
        <v>31185</v>
      </c>
      <c r="N1125" s="10"/>
      <c r="O1125" s="10"/>
      <c r="P1125" s="10"/>
      <c r="Q1125" s="10"/>
      <c r="R1125" s="10"/>
      <c r="T1125" s="10">
        <f t="shared" si="320"/>
        <v>22950</v>
      </c>
    </row>
    <row r="1126" spans="2:20" x14ac:dyDescent="0.25">
      <c r="B1126" s="97">
        <f t="shared" si="319"/>
        <v>338</v>
      </c>
      <c r="C1126" s="29"/>
      <c r="D1126" s="29"/>
      <c r="E1126" s="29"/>
      <c r="F1126" s="53" t="s">
        <v>543</v>
      </c>
      <c r="G1126" s="125">
        <v>640</v>
      </c>
      <c r="H1126" s="29" t="s">
        <v>315</v>
      </c>
      <c r="I1126" s="15">
        <v>653</v>
      </c>
      <c r="J1126" s="15">
        <v>653</v>
      </c>
      <c r="K1126" s="15">
        <v>653</v>
      </c>
      <c r="L1126" s="15">
        <f>219+736</f>
        <v>955</v>
      </c>
      <c r="M1126" s="15">
        <f>529+2624+629</f>
        <v>3782</v>
      </c>
      <c r="N1126" s="15"/>
      <c r="O1126" s="15"/>
      <c r="P1126" s="15"/>
      <c r="Q1126" s="15"/>
      <c r="R1126" s="15"/>
      <c r="T1126" s="15">
        <f t="shared" si="320"/>
        <v>653</v>
      </c>
    </row>
    <row r="1127" spans="2:20" x14ac:dyDescent="0.25">
      <c r="B1127" s="97">
        <f t="shared" si="319"/>
        <v>339</v>
      </c>
      <c r="C1127" s="29"/>
      <c r="D1127" s="29"/>
      <c r="E1127" s="29"/>
      <c r="F1127" s="53" t="s">
        <v>546</v>
      </c>
      <c r="G1127" s="125">
        <v>610</v>
      </c>
      <c r="H1127" s="29" t="s">
        <v>338</v>
      </c>
      <c r="I1127" s="15">
        <v>407743</v>
      </c>
      <c r="J1127" s="15">
        <v>384940</v>
      </c>
      <c r="K1127" s="15">
        <v>384940</v>
      </c>
      <c r="L1127" s="15">
        <v>368592</v>
      </c>
      <c r="M1127" s="15">
        <v>0</v>
      </c>
      <c r="N1127" s="15"/>
      <c r="O1127" s="15"/>
      <c r="P1127" s="15"/>
      <c r="Q1127" s="15"/>
      <c r="R1127" s="15"/>
      <c r="T1127" s="15">
        <f t="shared" si="320"/>
        <v>407743</v>
      </c>
    </row>
    <row r="1128" spans="2:20" x14ac:dyDescent="0.25">
      <c r="B1128" s="97">
        <f t="shared" si="319"/>
        <v>340</v>
      </c>
      <c r="C1128" s="29"/>
      <c r="D1128" s="29"/>
      <c r="E1128" s="29"/>
      <c r="F1128" s="53" t="s">
        <v>546</v>
      </c>
      <c r="G1128" s="125">
        <v>620</v>
      </c>
      <c r="H1128" s="29" t="s">
        <v>313</v>
      </c>
      <c r="I1128" s="15">
        <v>143528</v>
      </c>
      <c r="J1128" s="15">
        <v>135501</v>
      </c>
      <c r="K1128" s="15">
        <v>135501</v>
      </c>
      <c r="L1128" s="15">
        <v>129913</v>
      </c>
      <c r="M1128" s="15">
        <v>0</v>
      </c>
      <c r="N1128" s="15"/>
      <c r="O1128" s="15"/>
      <c r="P1128" s="15"/>
      <c r="Q1128" s="15"/>
      <c r="R1128" s="15"/>
      <c r="T1128" s="15">
        <f t="shared" si="320"/>
        <v>143528</v>
      </c>
    </row>
    <row r="1129" spans="2:20" x14ac:dyDescent="0.25">
      <c r="B1129" s="97">
        <f t="shared" si="319"/>
        <v>341</v>
      </c>
      <c r="C1129" s="29"/>
      <c r="D1129" s="29"/>
      <c r="E1129" s="29"/>
      <c r="F1129" s="53" t="s">
        <v>546</v>
      </c>
      <c r="G1129" s="125">
        <v>630</v>
      </c>
      <c r="H1129" s="29" t="s">
        <v>303</v>
      </c>
      <c r="I1129" s="15">
        <f>I1130+I1131+I1132+I1133+I1134</f>
        <v>115075</v>
      </c>
      <c r="J1129" s="15">
        <f t="shared" ref="J1129:M1129" si="325">J1134+J1133+J1132+J1131+J1130</f>
        <v>100309</v>
      </c>
      <c r="K1129" s="15">
        <f t="shared" si="325"/>
        <v>110109</v>
      </c>
      <c r="L1129" s="15">
        <f t="shared" si="325"/>
        <v>79493.070000000007</v>
      </c>
      <c r="M1129" s="15">
        <f t="shared" si="325"/>
        <v>0</v>
      </c>
      <c r="N1129" s="15"/>
      <c r="O1129" s="15"/>
      <c r="P1129" s="15"/>
      <c r="Q1129" s="15"/>
      <c r="R1129" s="15"/>
      <c r="T1129" s="15">
        <f t="shared" si="320"/>
        <v>115075</v>
      </c>
    </row>
    <row r="1130" spans="2:20" x14ac:dyDescent="0.25">
      <c r="B1130" s="97">
        <f t="shared" si="319"/>
        <v>342</v>
      </c>
      <c r="C1130" s="9"/>
      <c r="D1130" s="9"/>
      <c r="E1130" s="9"/>
      <c r="F1130" s="54" t="s">
        <v>546</v>
      </c>
      <c r="G1130" s="126">
        <v>631</v>
      </c>
      <c r="H1130" s="9" t="s">
        <v>304</v>
      </c>
      <c r="I1130" s="10">
        <v>137</v>
      </c>
      <c r="J1130" s="10">
        <v>137</v>
      </c>
      <c r="K1130" s="10">
        <v>137</v>
      </c>
      <c r="L1130" s="10">
        <v>16.07</v>
      </c>
      <c r="M1130" s="10">
        <v>0</v>
      </c>
      <c r="N1130" s="10"/>
      <c r="O1130" s="10"/>
      <c r="P1130" s="10"/>
      <c r="Q1130" s="10"/>
      <c r="R1130" s="10"/>
      <c r="T1130" s="10">
        <f t="shared" si="320"/>
        <v>137</v>
      </c>
    </row>
    <row r="1131" spans="2:20" x14ac:dyDescent="0.25">
      <c r="B1131" s="97">
        <f t="shared" si="319"/>
        <v>343</v>
      </c>
      <c r="C1131" s="9"/>
      <c r="D1131" s="9"/>
      <c r="E1131" s="9"/>
      <c r="F1131" s="54" t="s">
        <v>546</v>
      </c>
      <c r="G1131" s="126">
        <v>632</v>
      </c>
      <c r="H1131" s="9" t="s">
        <v>314</v>
      </c>
      <c r="I1131" s="10">
        <v>36866</v>
      </c>
      <c r="J1131" s="10">
        <v>31700</v>
      </c>
      <c r="K1131" s="10">
        <v>31700</v>
      </c>
      <c r="L1131" s="10">
        <v>26491</v>
      </c>
      <c r="M1131" s="10">
        <v>0</v>
      </c>
      <c r="N1131" s="10"/>
      <c r="O1131" s="10"/>
      <c r="P1131" s="10"/>
      <c r="Q1131" s="10"/>
      <c r="R1131" s="10"/>
      <c r="T1131" s="10">
        <f t="shared" si="320"/>
        <v>36866</v>
      </c>
    </row>
    <row r="1132" spans="2:20" x14ac:dyDescent="0.25">
      <c r="B1132" s="97">
        <f t="shared" si="319"/>
        <v>344</v>
      </c>
      <c r="C1132" s="9"/>
      <c r="D1132" s="9"/>
      <c r="E1132" s="9"/>
      <c r="F1132" s="54" t="s">
        <v>546</v>
      </c>
      <c r="G1132" s="126">
        <v>633</v>
      </c>
      <c r="H1132" s="9" t="s">
        <v>305</v>
      </c>
      <c r="I1132" s="10">
        <v>38552</v>
      </c>
      <c r="J1132" s="10">
        <v>38552</v>
      </c>
      <c r="K1132" s="10">
        <v>38752</v>
      </c>
      <c r="L1132" s="10">
        <v>19112</v>
      </c>
      <c r="M1132" s="10">
        <v>0</v>
      </c>
      <c r="N1132" s="10"/>
      <c r="O1132" s="10"/>
      <c r="P1132" s="10"/>
      <c r="Q1132" s="10"/>
      <c r="R1132" s="10"/>
      <c r="T1132" s="10">
        <f t="shared" si="320"/>
        <v>38552</v>
      </c>
    </row>
    <row r="1133" spans="2:20" x14ac:dyDescent="0.25">
      <c r="B1133" s="97">
        <f t="shared" si="319"/>
        <v>345</v>
      </c>
      <c r="C1133" s="9"/>
      <c r="D1133" s="9"/>
      <c r="E1133" s="9"/>
      <c r="F1133" s="54" t="s">
        <v>546</v>
      </c>
      <c r="G1133" s="126">
        <v>635</v>
      </c>
      <c r="H1133" s="9" t="s">
        <v>320</v>
      </c>
      <c r="I1133" s="10">
        <v>12650</v>
      </c>
      <c r="J1133" s="10">
        <v>12650</v>
      </c>
      <c r="K1133" s="10">
        <v>12650</v>
      </c>
      <c r="L1133" s="10">
        <v>18824</v>
      </c>
      <c r="M1133" s="10">
        <v>0</v>
      </c>
      <c r="N1133" s="10"/>
      <c r="O1133" s="10"/>
      <c r="P1133" s="10"/>
      <c r="Q1133" s="10"/>
      <c r="R1133" s="10"/>
      <c r="T1133" s="10">
        <f t="shared" si="320"/>
        <v>12650</v>
      </c>
    </row>
    <row r="1134" spans="2:20" x14ac:dyDescent="0.25">
      <c r="B1134" s="97">
        <f t="shared" si="319"/>
        <v>346</v>
      </c>
      <c r="C1134" s="9"/>
      <c r="D1134" s="9"/>
      <c r="E1134" s="9"/>
      <c r="F1134" s="54" t="s">
        <v>546</v>
      </c>
      <c r="G1134" s="126">
        <v>637</v>
      </c>
      <c r="H1134" s="9" t="s">
        <v>308</v>
      </c>
      <c r="I1134" s="10">
        <v>26870</v>
      </c>
      <c r="J1134" s="10">
        <v>17270</v>
      </c>
      <c r="K1134" s="10">
        <v>26870</v>
      </c>
      <c r="L1134" s="10">
        <v>15050</v>
      </c>
      <c r="M1134" s="10">
        <v>0</v>
      </c>
      <c r="N1134" s="10"/>
      <c r="O1134" s="10"/>
      <c r="P1134" s="10"/>
      <c r="Q1134" s="10"/>
      <c r="R1134" s="10"/>
      <c r="T1134" s="10">
        <f t="shared" si="320"/>
        <v>26870</v>
      </c>
    </row>
    <row r="1135" spans="2:20" x14ac:dyDescent="0.25">
      <c r="B1135" s="97">
        <f t="shared" si="319"/>
        <v>347</v>
      </c>
      <c r="C1135" s="29"/>
      <c r="D1135" s="29"/>
      <c r="E1135" s="29"/>
      <c r="F1135" s="53" t="s">
        <v>546</v>
      </c>
      <c r="G1135" s="125">
        <v>640</v>
      </c>
      <c r="H1135" s="29" t="s">
        <v>315</v>
      </c>
      <c r="I1135" s="15">
        <v>797</v>
      </c>
      <c r="J1135" s="15">
        <v>797</v>
      </c>
      <c r="K1135" s="15">
        <v>797</v>
      </c>
      <c r="L1135" s="15">
        <v>5438</v>
      </c>
      <c r="M1135" s="15">
        <v>0</v>
      </c>
      <c r="N1135" s="15"/>
      <c r="O1135" s="15"/>
      <c r="P1135" s="15"/>
      <c r="Q1135" s="15"/>
      <c r="R1135" s="15"/>
      <c r="T1135" s="15">
        <f t="shared" si="320"/>
        <v>797</v>
      </c>
    </row>
    <row r="1136" spans="2:20" x14ac:dyDescent="0.25">
      <c r="B1136" s="97">
        <f t="shared" si="319"/>
        <v>348</v>
      </c>
      <c r="C1136" s="29"/>
      <c r="D1136" s="29"/>
      <c r="E1136" s="29"/>
      <c r="F1136" s="53" t="s">
        <v>551</v>
      </c>
      <c r="G1136" s="125">
        <v>630</v>
      </c>
      <c r="H1136" s="29" t="s">
        <v>303</v>
      </c>
      <c r="I1136" s="15">
        <f>I1137</f>
        <v>0</v>
      </c>
      <c r="J1136" s="15">
        <f t="shared" ref="J1136:M1136" si="326">J1137</f>
        <v>0</v>
      </c>
      <c r="K1136" s="15">
        <f t="shared" si="326"/>
        <v>946</v>
      </c>
      <c r="L1136" s="15">
        <f t="shared" si="326"/>
        <v>490</v>
      </c>
      <c r="M1136" s="15">
        <f t="shared" si="326"/>
        <v>0</v>
      </c>
      <c r="N1136" s="15"/>
      <c r="O1136" s="15"/>
      <c r="P1136" s="15"/>
      <c r="Q1136" s="15"/>
      <c r="R1136" s="15"/>
      <c r="T1136" s="15">
        <f t="shared" si="320"/>
        <v>0</v>
      </c>
    </row>
    <row r="1137" spans="2:20" x14ac:dyDescent="0.25">
      <c r="B1137" s="97">
        <f t="shared" si="319"/>
        <v>349</v>
      </c>
      <c r="C1137" s="9"/>
      <c r="D1137" s="9"/>
      <c r="E1137" s="9"/>
      <c r="F1137" s="54" t="s">
        <v>551</v>
      </c>
      <c r="G1137" s="126">
        <v>633</v>
      </c>
      <c r="H1137" s="9" t="s">
        <v>305</v>
      </c>
      <c r="I1137" s="10">
        <v>0</v>
      </c>
      <c r="J1137" s="10">
        <v>0</v>
      </c>
      <c r="K1137" s="10">
        <v>946</v>
      </c>
      <c r="L1137" s="10">
        <v>490</v>
      </c>
      <c r="M1137" s="10">
        <v>0</v>
      </c>
      <c r="N1137" s="10"/>
      <c r="O1137" s="10"/>
      <c r="P1137" s="10"/>
      <c r="Q1137" s="10"/>
      <c r="R1137" s="10"/>
      <c r="T1137" s="10">
        <f t="shared" si="320"/>
        <v>0</v>
      </c>
    </row>
    <row r="1138" spans="2:20" x14ac:dyDescent="0.25">
      <c r="B1138" s="97">
        <f t="shared" si="319"/>
        <v>350</v>
      </c>
      <c r="C1138" s="9"/>
      <c r="D1138" s="9"/>
      <c r="E1138" s="9"/>
      <c r="F1138" s="54"/>
      <c r="G1138" s="125">
        <v>630</v>
      </c>
      <c r="H1138" s="29" t="s">
        <v>539</v>
      </c>
      <c r="I1138" s="10">
        <v>0</v>
      </c>
      <c r="J1138" s="10"/>
      <c r="K1138" s="8">
        <v>3140</v>
      </c>
      <c r="L1138" s="10">
        <v>2594</v>
      </c>
      <c r="M1138" s="10">
        <v>9411</v>
      </c>
      <c r="N1138" s="10"/>
      <c r="O1138" s="10"/>
      <c r="P1138" s="10"/>
      <c r="Q1138" s="10"/>
      <c r="R1138" s="10"/>
      <c r="T1138" s="10">
        <f t="shared" si="320"/>
        <v>0</v>
      </c>
    </row>
    <row r="1139" spans="2:20" x14ac:dyDescent="0.25">
      <c r="B1139" s="97">
        <f t="shared" si="319"/>
        <v>351</v>
      </c>
      <c r="C1139" s="9"/>
      <c r="D1139" s="9"/>
      <c r="E1139" s="9"/>
      <c r="F1139" s="53" t="s">
        <v>546</v>
      </c>
      <c r="G1139" s="125">
        <v>710</v>
      </c>
      <c r="H1139" s="29" t="s">
        <v>321</v>
      </c>
      <c r="I1139" s="15"/>
      <c r="J1139" s="15"/>
      <c r="K1139" s="15"/>
      <c r="L1139" s="15"/>
      <c r="M1139" s="15"/>
      <c r="N1139" s="15">
        <f>N1140+N1141+N1144</f>
        <v>17000</v>
      </c>
      <c r="O1139" s="15">
        <f t="shared" ref="O1139:R1139" si="327">O1140+O1141+O1144</f>
        <v>5000</v>
      </c>
      <c r="P1139" s="15">
        <f t="shared" si="327"/>
        <v>18000</v>
      </c>
      <c r="Q1139" s="15">
        <f t="shared" si="327"/>
        <v>93714</v>
      </c>
      <c r="R1139" s="15">
        <f t="shared" si="327"/>
        <v>33941</v>
      </c>
      <c r="T1139" s="15">
        <f t="shared" si="320"/>
        <v>17000</v>
      </c>
    </row>
    <row r="1140" spans="2:20" x14ac:dyDescent="0.25">
      <c r="B1140" s="97">
        <f t="shared" si="319"/>
        <v>352</v>
      </c>
      <c r="C1140" s="12"/>
      <c r="D1140" s="12"/>
      <c r="E1140" s="12"/>
      <c r="F1140" s="9"/>
      <c r="G1140" s="126">
        <v>713</v>
      </c>
      <c r="H1140" s="9" t="s">
        <v>879</v>
      </c>
      <c r="I1140" s="10"/>
      <c r="J1140" s="10"/>
      <c r="K1140" s="10"/>
      <c r="L1140" s="10"/>
      <c r="M1140" s="10"/>
      <c r="N1140" s="10"/>
      <c r="O1140" s="10"/>
      <c r="P1140" s="10"/>
      <c r="Q1140" s="10">
        <v>2458</v>
      </c>
      <c r="R1140" s="10"/>
      <c r="T1140" s="10">
        <f t="shared" si="320"/>
        <v>0</v>
      </c>
    </row>
    <row r="1141" spans="2:20" x14ac:dyDescent="0.25">
      <c r="B1141" s="97">
        <f t="shared" si="319"/>
        <v>353</v>
      </c>
      <c r="C1141" s="9"/>
      <c r="D1141" s="9"/>
      <c r="E1141" s="9"/>
      <c r="F1141" s="55" t="s">
        <v>546</v>
      </c>
      <c r="G1141" s="126">
        <v>716</v>
      </c>
      <c r="H1141" s="9" t="s">
        <v>323</v>
      </c>
      <c r="I1141" s="15"/>
      <c r="J1141" s="15"/>
      <c r="K1141" s="15"/>
      <c r="L1141" s="15"/>
      <c r="M1141" s="15"/>
      <c r="N1141" s="16">
        <f t="shared" ref="N1141:P1141" si="328">N1142</f>
        <v>5000</v>
      </c>
      <c r="O1141" s="16">
        <f t="shared" si="328"/>
        <v>5000</v>
      </c>
      <c r="P1141" s="16">
        <f t="shared" si="328"/>
        <v>5000</v>
      </c>
      <c r="Q1141" s="16">
        <f>Q1142+Q1143</f>
        <v>2716</v>
      </c>
      <c r="R1141" s="16"/>
      <c r="T1141" s="16">
        <f t="shared" si="320"/>
        <v>5000</v>
      </c>
    </row>
    <row r="1142" spans="2:20" x14ac:dyDescent="0.25">
      <c r="B1142" s="97">
        <f t="shared" si="319"/>
        <v>354</v>
      </c>
      <c r="C1142" s="12"/>
      <c r="D1142" s="12"/>
      <c r="E1142" s="12"/>
      <c r="F1142" s="12"/>
      <c r="G1142" s="127"/>
      <c r="H1142" s="12" t="s">
        <v>959</v>
      </c>
      <c r="I1142" s="13"/>
      <c r="J1142" s="13"/>
      <c r="K1142" s="13"/>
      <c r="L1142" s="13"/>
      <c r="M1142" s="13"/>
      <c r="N1142" s="13">
        <v>5000</v>
      </c>
      <c r="O1142" s="13">
        <v>5000</v>
      </c>
      <c r="P1142" s="13">
        <v>5000</v>
      </c>
      <c r="Q1142" s="13"/>
      <c r="R1142" s="13"/>
      <c r="T1142" s="13">
        <f t="shared" si="320"/>
        <v>5000</v>
      </c>
    </row>
    <row r="1143" spans="2:20" x14ac:dyDescent="0.25">
      <c r="B1143" s="97">
        <f t="shared" si="319"/>
        <v>355</v>
      </c>
      <c r="C1143" s="12"/>
      <c r="D1143" s="12"/>
      <c r="E1143" s="12"/>
      <c r="F1143" s="12"/>
      <c r="G1143" s="127"/>
      <c r="H1143" s="12" t="s">
        <v>880</v>
      </c>
      <c r="I1143" s="13"/>
      <c r="J1143" s="13"/>
      <c r="K1143" s="13"/>
      <c r="L1143" s="13"/>
      <c r="M1143" s="13"/>
      <c r="N1143" s="13"/>
      <c r="O1143" s="13"/>
      <c r="P1143" s="13"/>
      <c r="Q1143" s="13">
        <v>2716</v>
      </c>
      <c r="R1143" s="13"/>
      <c r="T1143" s="13">
        <f t="shared" si="320"/>
        <v>0</v>
      </c>
    </row>
    <row r="1144" spans="2:20" x14ac:dyDescent="0.25">
      <c r="B1144" s="97">
        <f t="shared" si="319"/>
        <v>356</v>
      </c>
      <c r="C1144" s="9"/>
      <c r="D1144" s="9"/>
      <c r="E1144" s="9"/>
      <c r="F1144" s="54" t="s">
        <v>546</v>
      </c>
      <c r="G1144" s="126">
        <v>717</v>
      </c>
      <c r="H1144" s="9" t="s">
        <v>327</v>
      </c>
      <c r="I1144" s="10"/>
      <c r="J1144" s="10"/>
      <c r="K1144" s="10"/>
      <c r="L1144" s="10"/>
      <c r="M1144" s="10"/>
      <c r="N1144" s="10">
        <f>SUM(N1145:N1146)</f>
        <v>12000</v>
      </c>
      <c r="O1144" s="10"/>
      <c r="P1144" s="10">
        <f t="shared" ref="P1144:R1144" si="329">SUM(P1145:P1146)</f>
        <v>13000</v>
      </c>
      <c r="Q1144" s="10">
        <f t="shared" si="329"/>
        <v>88540</v>
      </c>
      <c r="R1144" s="10">
        <f t="shared" si="329"/>
        <v>33941</v>
      </c>
      <c r="T1144" s="10">
        <f t="shared" si="320"/>
        <v>12000</v>
      </c>
    </row>
    <row r="1145" spans="2:20" x14ac:dyDescent="0.25">
      <c r="B1145" s="97">
        <f t="shared" si="319"/>
        <v>357</v>
      </c>
      <c r="C1145" s="12"/>
      <c r="D1145" s="12"/>
      <c r="E1145" s="12"/>
      <c r="F1145" s="12"/>
      <c r="G1145" s="127"/>
      <c r="H1145" s="12" t="s">
        <v>880</v>
      </c>
      <c r="I1145" s="13"/>
      <c r="J1145" s="13"/>
      <c r="K1145" s="13"/>
      <c r="L1145" s="13"/>
      <c r="M1145" s="13"/>
      <c r="N1145" s="13"/>
      <c r="O1145" s="13"/>
      <c r="P1145" s="13">
        <v>1000</v>
      </c>
      <c r="Q1145" s="13">
        <v>88540</v>
      </c>
      <c r="R1145" s="13">
        <v>33941</v>
      </c>
      <c r="T1145" s="13">
        <f t="shared" si="320"/>
        <v>0</v>
      </c>
    </row>
    <row r="1146" spans="2:20" x14ac:dyDescent="0.25">
      <c r="B1146" s="97">
        <f t="shared" si="319"/>
        <v>358</v>
      </c>
      <c r="C1146" s="12"/>
      <c r="D1146" s="12"/>
      <c r="E1146" s="12"/>
      <c r="F1146" s="12"/>
      <c r="G1146" s="127"/>
      <c r="H1146" s="91" t="s">
        <v>881</v>
      </c>
      <c r="I1146" s="13"/>
      <c r="J1146" s="13"/>
      <c r="K1146" s="13"/>
      <c r="L1146" s="13"/>
      <c r="M1146" s="13"/>
      <c r="N1146" s="13">
        <v>12000</v>
      </c>
      <c r="O1146" s="13"/>
      <c r="P1146" s="13">
        <v>12000</v>
      </c>
      <c r="Q1146" s="13"/>
      <c r="R1146" s="13"/>
      <c r="T1146" s="13">
        <f t="shared" si="320"/>
        <v>12000</v>
      </c>
    </row>
    <row r="1147" spans="2:20" ht="16.5" customHeight="1" x14ac:dyDescent="0.25">
      <c r="B1147" s="97">
        <f t="shared" si="319"/>
        <v>359</v>
      </c>
      <c r="C1147" s="49"/>
      <c r="D1147" s="49"/>
      <c r="E1147" s="49">
        <v>8</v>
      </c>
      <c r="F1147" s="49"/>
      <c r="G1147" s="123"/>
      <c r="H1147" s="49" t="s">
        <v>186</v>
      </c>
      <c r="I1147" s="50">
        <f>I1148</f>
        <v>1571368</v>
      </c>
      <c r="J1147" s="50">
        <f t="shared" ref="J1147:R1147" si="330">J1148</f>
        <v>1434418</v>
      </c>
      <c r="K1147" s="50">
        <f t="shared" si="330"/>
        <v>1467608</v>
      </c>
      <c r="L1147" s="50">
        <f t="shared" si="330"/>
        <v>1355369</v>
      </c>
      <c r="M1147" s="50">
        <f t="shared" si="330"/>
        <v>1288508</v>
      </c>
      <c r="N1147" s="50">
        <v>0</v>
      </c>
      <c r="O1147" s="50">
        <f t="shared" si="330"/>
        <v>0</v>
      </c>
      <c r="P1147" s="50">
        <f t="shared" si="330"/>
        <v>0</v>
      </c>
      <c r="Q1147" s="50">
        <f t="shared" si="330"/>
        <v>0</v>
      </c>
      <c r="R1147" s="50">
        <f t="shared" si="330"/>
        <v>0</v>
      </c>
      <c r="T1147" s="50">
        <f t="shared" si="320"/>
        <v>1571368</v>
      </c>
    </row>
    <row r="1148" spans="2:20" ht="12.75" hidden="1" customHeight="1" x14ac:dyDescent="0.25">
      <c r="B1148" s="97">
        <f t="shared" si="319"/>
        <v>360</v>
      </c>
      <c r="C1148" s="51"/>
      <c r="D1148" s="51"/>
      <c r="E1148" s="51" t="s">
        <v>60</v>
      </c>
      <c r="F1148" s="51"/>
      <c r="G1148" s="124"/>
      <c r="H1148" s="51"/>
      <c r="I1148" s="52">
        <f>I1149+I1150+I1151+I1158+I1159+I1160+I1161+I1169+I1170+I1172+I1173</f>
        <v>1571368</v>
      </c>
      <c r="J1148" s="52">
        <f>J1172+J1170+J1169+J1161+J1160+J1159+J1158+J1151+J1150+J1149</f>
        <v>1434418</v>
      </c>
      <c r="K1148" s="52">
        <f>K1172+K1170+K1169+K1161+K1160+K1159+K1158+K1151+K1150+K1149+K1173</f>
        <v>1467608</v>
      </c>
      <c r="L1148" s="52">
        <f>L1172+L1170+L1169+L1161+L1160+L1159+L1158+L1151+L1150+L1149+L1173</f>
        <v>1355369</v>
      </c>
      <c r="M1148" s="52">
        <f>M1172+M1170+M1169+M1161+M1160+M1159+M1158+M1151+M1150+M1149+M1173</f>
        <v>1288508</v>
      </c>
      <c r="N1148" s="52">
        <v>0</v>
      </c>
      <c r="O1148" s="52">
        <f>O1172+O1170+O1169+O1161+O1160+O1159+O1158+O1151+O1150+O1149</f>
        <v>0</v>
      </c>
      <c r="P1148" s="52">
        <f>P1172+P1170+P1169+P1161+P1160+P1159+P1158+P1151+P1150+P1149</f>
        <v>0</v>
      </c>
      <c r="Q1148" s="52">
        <f>Q1172+Q1170+Q1169+Q1161+Q1160+Q1159+Q1158+Q1151+Q1150+Q1149</f>
        <v>0</v>
      </c>
      <c r="R1148" s="52">
        <f>R1172+R1170+R1169+R1161+R1160+R1159+R1158+R1151+R1150+R1149</f>
        <v>0</v>
      </c>
      <c r="T1148" s="52">
        <f t="shared" si="320"/>
        <v>1571368</v>
      </c>
    </row>
    <row r="1149" spans="2:20" x14ac:dyDescent="0.25">
      <c r="B1149" s="97">
        <f t="shared" si="319"/>
        <v>361</v>
      </c>
      <c r="C1149" s="29"/>
      <c r="D1149" s="29"/>
      <c r="E1149" s="29"/>
      <c r="F1149" s="53" t="s">
        <v>543</v>
      </c>
      <c r="G1149" s="125">
        <v>610</v>
      </c>
      <c r="H1149" s="29" t="s">
        <v>338</v>
      </c>
      <c r="I1149" s="15">
        <v>354956</v>
      </c>
      <c r="J1149" s="15">
        <v>334950</v>
      </c>
      <c r="K1149" s="15">
        <v>334950</v>
      </c>
      <c r="L1149" s="15">
        <v>289750</v>
      </c>
      <c r="M1149" s="15">
        <f>768014+400</f>
        <v>768414</v>
      </c>
      <c r="N1149" s="15"/>
      <c r="O1149" s="15"/>
      <c r="P1149" s="15"/>
      <c r="Q1149" s="15"/>
      <c r="R1149" s="15"/>
      <c r="T1149" s="15">
        <f t="shared" si="320"/>
        <v>354956</v>
      </c>
    </row>
    <row r="1150" spans="2:20" x14ac:dyDescent="0.25">
      <c r="B1150" s="97">
        <f t="shared" si="319"/>
        <v>362</v>
      </c>
      <c r="C1150" s="29"/>
      <c r="D1150" s="29"/>
      <c r="E1150" s="29"/>
      <c r="F1150" s="53" t="s">
        <v>543</v>
      </c>
      <c r="G1150" s="125">
        <v>620</v>
      </c>
      <c r="H1150" s="29" t="s">
        <v>313</v>
      </c>
      <c r="I1150" s="15">
        <v>124190</v>
      </c>
      <c r="J1150" s="15">
        <v>117190</v>
      </c>
      <c r="K1150" s="15">
        <v>117190</v>
      </c>
      <c r="L1150" s="15">
        <v>106681</v>
      </c>
      <c r="M1150" s="15">
        <v>281687</v>
      </c>
      <c r="N1150" s="15"/>
      <c r="O1150" s="15"/>
      <c r="P1150" s="15"/>
      <c r="Q1150" s="15"/>
      <c r="R1150" s="15"/>
      <c r="T1150" s="15">
        <f t="shared" si="320"/>
        <v>124190</v>
      </c>
    </row>
    <row r="1151" spans="2:20" x14ac:dyDescent="0.25">
      <c r="B1151" s="97">
        <f t="shared" si="319"/>
        <v>363</v>
      </c>
      <c r="C1151" s="29"/>
      <c r="D1151" s="29"/>
      <c r="E1151" s="29"/>
      <c r="F1151" s="53" t="s">
        <v>543</v>
      </c>
      <c r="G1151" s="125">
        <v>630</v>
      </c>
      <c r="H1151" s="29" t="s">
        <v>303</v>
      </c>
      <c r="I1151" s="15">
        <f>I1152+I1153+I1154+I1155+I1156+I1157</f>
        <v>105815</v>
      </c>
      <c r="J1151" s="15">
        <f t="shared" ref="J1151:L1151" si="331">J1157+J1155+J1154+J1153+J1152</f>
        <v>90387</v>
      </c>
      <c r="K1151" s="15">
        <f t="shared" si="331"/>
        <v>90387</v>
      </c>
      <c r="L1151" s="15">
        <f t="shared" si="331"/>
        <v>81723</v>
      </c>
      <c r="M1151" s="15">
        <f>M1157+M1155+M1154+M1153+M1152+M1156</f>
        <v>187994</v>
      </c>
      <c r="N1151" s="15"/>
      <c r="O1151" s="15"/>
      <c r="P1151" s="15"/>
      <c r="Q1151" s="15"/>
      <c r="R1151" s="15"/>
      <c r="T1151" s="15">
        <f t="shared" si="320"/>
        <v>105815</v>
      </c>
    </row>
    <row r="1152" spans="2:20" x14ac:dyDescent="0.25">
      <c r="B1152" s="97">
        <f t="shared" si="319"/>
        <v>364</v>
      </c>
      <c r="C1152" s="9"/>
      <c r="D1152" s="9"/>
      <c r="E1152" s="9"/>
      <c r="F1152" s="54" t="s">
        <v>543</v>
      </c>
      <c r="G1152" s="126">
        <v>631</v>
      </c>
      <c r="H1152" s="9" t="s">
        <v>304</v>
      </c>
      <c r="I1152" s="10">
        <v>20</v>
      </c>
      <c r="J1152" s="10">
        <v>20</v>
      </c>
      <c r="K1152" s="10">
        <v>20</v>
      </c>
      <c r="L1152" s="10">
        <v>36</v>
      </c>
      <c r="M1152" s="10">
        <v>10</v>
      </c>
      <c r="N1152" s="10"/>
      <c r="O1152" s="10"/>
      <c r="P1152" s="10"/>
      <c r="Q1152" s="10"/>
      <c r="R1152" s="10"/>
      <c r="T1152" s="10">
        <f t="shared" si="320"/>
        <v>20</v>
      </c>
    </row>
    <row r="1153" spans="2:20" x14ac:dyDescent="0.25">
      <c r="B1153" s="97">
        <f t="shared" si="319"/>
        <v>365</v>
      </c>
      <c r="C1153" s="9"/>
      <c r="D1153" s="9"/>
      <c r="E1153" s="9"/>
      <c r="F1153" s="54" t="s">
        <v>543</v>
      </c>
      <c r="G1153" s="126">
        <v>632</v>
      </c>
      <c r="H1153" s="9" t="s">
        <v>314</v>
      </c>
      <c r="I1153" s="10">
        <v>62690</v>
      </c>
      <c r="J1153" s="10">
        <v>60069</v>
      </c>
      <c r="K1153" s="10">
        <v>60069</v>
      </c>
      <c r="L1153" s="10">
        <v>50404</v>
      </c>
      <c r="M1153" s="10">
        <v>86295</v>
      </c>
      <c r="N1153" s="10"/>
      <c r="O1153" s="10"/>
      <c r="P1153" s="10"/>
      <c r="Q1153" s="10"/>
      <c r="R1153" s="10"/>
      <c r="T1153" s="10">
        <f t="shared" si="320"/>
        <v>62690</v>
      </c>
    </row>
    <row r="1154" spans="2:20" x14ac:dyDescent="0.25">
      <c r="B1154" s="97">
        <f t="shared" si="319"/>
        <v>366</v>
      </c>
      <c r="C1154" s="9"/>
      <c r="D1154" s="9"/>
      <c r="E1154" s="9"/>
      <c r="F1154" s="54" t="s">
        <v>543</v>
      </c>
      <c r="G1154" s="126">
        <v>633</v>
      </c>
      <c r="H1154" s="9" t="s">
        <v>305</v>
      </c>
      <c r="I1154" s="10">
        <v>13155</v>
      </c>
      <c r="J1154" s="10">
        <v>12260</v>
      </c>
      <c r="K1154" s="10">
        <v>12260</v>
      </c>
      <c r="L1154" s="10">
        <v>13900</v>
      </c>
      <c r="M1154" s="10">
        <v>40987</v>
      </c>
      <c r="N1154" s="10"/>
      <c r="O1154" s="10"/>
      <c r="P1154" s="10"/>
      <c r="Q1154" s="10"/>
      <c r="R1154" s="10"/>
      <c r="T1154" s="10">
        <f t="shared" si="320"/>
        <v>13155</v>
      </c>
    </row>
    <row r="1155" spans="2:20" x14ac:dyDescent="0.25">
      <c r="B1155" s="97">
        <f t="shared" si="319"/>
        <v>367</v>
      </c>
      <c r="C1155" s="9"/>
      <c r="D1155" s="9"/>
      <c r="E1155" s="9"/>
      <c r="F1155" s="54" t="s">
        <v>543</v>
      </c>
      <c r="G1155" s="126">
        <v>635</v>
      </c>
      <c r="H1155" s="9" t="s">
        <v>320</v>
      </c>
      <c r="I1155" s="10">
        <v>4820</v>
      </c>
      <c r="J1155" s="10">
        <v>4549</v>
      </c>
      <c r="K1155" s="10">
        <v>4549</v>
      </c>
      <c r="L1155" s="10">
        <v>6634</v>
      </c>
      <c r="M1155" s="10">
        <v>15488</v>
      </c>
      <c r="N1155" s="10"/>
      <c r="O1155" s="10"/>
      <c r="P1155" s="10"/>
      <c r="Q1155" s="10"/>
      <c r="R1155" s="10"/>
      <c r="T1155" s="10">
        <f t="shared" si="320"/>
        <v>4820</v>
      </c>
    </row>
    <row r="1156" spans="2:20" x14ac:dyDescent="0.25">
      <c r="B1156" s="97">
        <f t="shared" si="319"/>
        <v>368</v>
      </c>
      <c r="C1156" s="9"/>
      <c r="D1156" s="9"/>
      <c r="E1156" s="9"/>
      <c r="F1156" s="54" t="s">
        <v>543</v>
      </c>
      <c r="G1156" s="126">
        <v>636</v>
      </c>
      <c r="H1156" s="9" t="s">
        <v>307</v>
      </c>
      <c r="I1156" s="10">
        <v>0</v>
      </c>
      <c r="J1156" s="10"/>
      <c r="K1156" s="10"/>
      <c r="L1156" s="10"/>
      <c r="M1156" s="10">
        <v>11430</v>
      </c>
      <c r="N1156" s="10"/>
      <c r="O1156" s="10"/>
      <c r="P1156" s="10"/>
      <c r="Q1156" s="10"/>
      <c r="R1156" s="10"/>
      <c r="T1156" s="10">
        <f t="shared" si="320"/>
        <v>0</v>
      </c>
    </row>
    <row r="1157" spans="2:20" x14ac:dyDescent="0.25">
      <c r="B1157" s="97">
        <f t="shared" si="319"/>
        <v>369</v>
      </c>
      <c r="C1157" s="9"/>
      <c r="D1157" s="9"/>
      <c r="E1157" s="9"/>
      <c r="F1157" s="54" t="s">
        <v>543</v>
      </c>
      <c r="G1157" s="126">
        <v>637</v>
      </c>
      <c r="H1157" s="9" t="s">
        <v>308</v>
      </c>
      <c r="I1157" s="10">
        <v>25130</v>
      </c>
      <c r="J1157" s="10">
        <v>13489</v>
      </c>
      <c r="K1157" s="10">
        <v>13489</v>
      </c>
      <c r="L1157" s="10">
        <v>10749</v>
      </c>
      <c r="M1157" s="10">
        <v>33784</v>
      </c>
      <c r="N1157" s="10"/>
      <c r="O1157" s="10"/>
      <c r="P1157" s="10"/>
      <c r="Q1157" s="10"/>
      <c r="R1157" s="10"/>
      <c r="T1157" s="10">
        <f t="shared" si="320"/>
        <v>25130</v>
      </c>
    </row>
    <row r="1158" spans="2:20" x14ac:dyDescent="0.25">
      <c r="B1158" s="97">
        <f t="shared" si="319"/>
        <v>370</v>
      </c>
      <c r="C1158" s="29"/>
      <c r="D1158" s="29"/>
      <c r="E1158" s="29"/>
      <c r="F1158" s="53" t="s">
        <v>543</v>
      </c>
      <c r="G1158" s="125">
        <v>640</v>
      </c>
      <c r="H1158" s="29" t="s">
        <v>315</v>
      </c>
      <c r="I1158" s="15">
        <v>5340</v>
      </c>
      <c r="J1158" s="15">
        <v>3569</v>
      </c>
      <c r="K1158" s="15">
        <v>3569</v>
      </c>
      <c r="L1158" s="15">
        <v>3645</v>
      </c>
      <c r="M1158" s="15">
        <f>2684+2821+2369</f>
        <v>7874</v>
      </c>
      <c r="N1158" s="15"/>
      <c r="O1158" s="15"/>
      <c r="P1158" s="15"/>
      <c r="Q1158" s="15"/>
      <c r="R1158" s="15"/>
      <c r="T1158" s="15">
        <f t="shared" si="320"/>
        <v>5340</v>
      </c>
    </row>
    <row r="1159" spans="2:20" x14ac:dyDescent="0.25">
      <c r="B1159" s="97">
        <f t="shared" si="319"/>
        <v>371</v>
      </c>
      <c r="C1159" s="29"/>
      <c r="D1159" s="29"/>
      <c r="E1159" s="29"/>
      <c r="F1159" s="53" t="s">
        <v>546</v>
      </c>
      <c r="G1159" s="125">
        <v>610</v>
      </c>
      <c r="H1159" s="29" t="s">
        <v>338</v>
      </c>
      <c r="I1159" s="15">
        <v>544333</v>
      </c>
      <c r="J1159" s="15">
        <v>513638</v>
      </c>
      <c r="K1159" s="15">
        <v>513858</v>
      </c>
      <c r="L1159" s="15">
        <v>534699</v>
      </c>
      <c r="M1159" s="15">
        <v>0</v>
      </c>
      <c r="N1159" s="15"/>
      <c r="O1159" s="15"/>
      <c r="P1159" s="15"/>
      <c r="Q1159" s="15"/>
      <c r="R1159" s="15"/>
      <c r="T1159" s="15">
        <f t="shared" si="320"/>
        <v>544333</v>
      </c>
    </row>
    <row r="1160" spans="2:20" x14ac:dyDescent="0.25">
      <c r="B1160" s="97">
        <f t="shared" si="319"/>
        <v>372</v>
      </c>
      <c r="C1160" s="29"/>
      <c r="D1160" s="29"/>
      <c r="E1160" s="29"/>
      <c r="F1160" s="53" t="s">
        <v>546</v>
      </c>
      <c r="G1160" s="125">
        <v>620</v>
      </c>
      <c r="H1160" s="29" t="s">
        <v>313</v>
      </c>
      <c r="I1160" s="15">
        <v>190264</v>
      </c>
      <c r="J1160" s="15">
        <v>179525</v>
      </c>
      <c r="K1160" s="15">
        <v>179605</v>
      </c>
      <c r="L1160" s="15">
        <v>193666</v>
      </c>
      <c r="M1160" s="15">
        <v>0</v>
      </c>
      <c r="N1160" s="15"/>
      <c r="O1160" s="15"/>
      <c r="P1160" s="15"/>
      <c r="Q1160" s="15"/>
      <c r="R1160" s="15"/>
      <c r="T1160" s="15">
        <f t="shared" si="320"/>
        <v>190264</v>
      </c>
    </row>
    <row r="1161" spans="2:20" x14ac:dyDescent="0.25">
      <c r="B1161" s="97">
        <f t="shared" si="319"/>
        <v>373</v>
      </c>
      <c r="C1161" s="29"/>
      <c r="D1161" s="29"/>
      <c r="E1161" s="29"/>
      <c r="F1161" s="53" t="s">
        <v>546</v>
      </c>
      <c r="G1161" s="125">
        <v>630</v>
      </c>
      <c r="H1161" s="29" t="s">
        <v>303</v>
      </c>
      <c r="I1161" s="15">
        <f>I1162+I1163+I1164+I1165+I1166+I1167+I1168</f>
        <v>238910</v>
      </c>
      <c r="J1161" s="15">
        <f t="shared" ref="J1161:M1161" si="332">J1168+J1167+J1166+J1165+J1164+J1163+J1162</f>
        <v>190849</v>
      </c>
      <c r="K1161" s="15">
        <f t="shared" si="332"/>
        <v>223299</v>
      </c>
      <c r="L1161" s="15">
        <f t="shared" si="332"/>
        <v>140924</v>
      </c>
      <c r="M1161" s="15">
        <f t="shared" si="332"/>
        <v>0</v>
      </c>
      <c r="N1161" s="15"/>
      <c r="O1161" s="15"/>
      <c r="P1161" s="15"/>
      <c r="Q1161" s="15"/>
      <c r="R1161" s="15"/>
      <c r="T1161" s="15">
        <f t="shared" si="320"/>
        <v>238910</v>
      </c>
    </row>
    <row r="1162" spans="2:20" x14ac:dyDescent="0.25">
      <c r="B1162" s="97">
        <f t="shared" si="319"/>
        <v>374</v>
      </c>
      <c r="C1162" s="9"/>
      <c r="D1162" s="9"/>
      <c r="E1162" s="9"/>
      <c r="F1162" s="54" t="s">
        <v>546</v>
      </c>
      <c r="G1162" s="126">
        <v>631</v>
      </c>
      <c r="H1162" s="9" t="s">
        <v>304</v>
      </c>
      <c r="I1162" s="10">
        <v>30</v>
      </c>
      <c r="J1162" s="10">
        <v>31</v>
      </c>
      <c r="K1162" s="10">
        <v>31</v>
      </c>
      <c r="L1162" s="10">
        <v>0</v>
      </c>
      <c r="M1162" s="10">
        <v>0</v>
      </c>
      <c r="N1162" s="10"/>
      <c r="O1162" s="10"/>
      <c r="P1162" s="10"/>
      <c r="Q1162" s="10"/>
      <c r="R1162" s="10"/>
      <c r="T1162" s="10">
        <f t="shared" si="320"/>
        <v>30</v>
      </c>
    </row>
    <row r="1163" spans="2:20" x14ac:dyDescent="0.25">
      <c r="B1163" s="97">
        <f t="shared" si="319"/>
        <v>375</v>
      </c>
      <c r="C1163" s="9"/>
      <c r="D1163" s="9"/>
      <c r="E1163" s="9"/>
      <c r="F1163" s="54" t="s">
        <v>546</v>
      </c>
      <c r="G1163" s="126">
        <v>632</v>
      </c>
      <c r="H1163" s="9" t="s">
        <v>314</v>
      </c>
      <c r="I1163" s="10">
        <v>105885</v>
      </c>
      <c r="J1163" s="10">
        <v>100105</v>
      </c>
      <c r="K1163" s="10">
        <v>100105</v>
      </c>
      <c r="L1163" s="10">
        <v>59075</v>
      </c>
      <c r="M1163" s="10">
        <v>0</v>
      </c>
      <c r="N1163" s="10"/>
      <c r="O1163" s="10"/>
      <c r="P1163" s="10"/>
      <c r="Q1163" s="10"/>
      <c r="R1163" s="10"/>
      <c r="T1163" s="10">
        <f t="shared" si="320"/>
        <v>105885</v>
      </c>
    </row>
    <row r="1164" spans="2:20" x14ac:dyDescent="0.25">
      <c r="B1164" s="97">
        <f t="shared" si="319"/>
        <v>376</v>
      </c>
      <c r="C1164" s="9"/>
      <c r="D1164" s="9"/>
      <c r="E1164" s="9"/>
      <c r="F1164" s="54" t="s">
        <v>546</v>
      </c>
      <c r="G1164" s="126">
        <v>633</v>
      </c>
      <c r="H1164" s="9" t="s">
        <v>305</v>
      </c>
      <c r="I1164" s="10">
        <v>40472</v>
      </c>
      <c r="J1164" s="10">
        <v>37655</v>
      </c>
      <c r="K1164" s="10">
        <v>37655</v>
      </c>
      <c r="L1164" s="10">
        <v>26814</v>
      </c>
      <c r="M1164" s="10">
        <v>0</v>
      </c>
      <c r="N1164" s="10"/>
      <c r="O1164" s="10"/>
      <c r="P1164" s="10"/>
      <c r="Q1164" s="10"/>
      <c r="R1164" s="10"/>
      <c r="T1164" s="10">
        <f t="shared" si="320"/>
        <v>40472</v>
      </c>
    </row>
    <row r="1165" spans="2:20" x14ac:dyDescent="0.25">
      <c r="B1165" s="97">
        <f t="shared" si="319"/>
        <v>377</v>
      </c>
      <c r="C1165" s="9"/>
      <c r="D1165" s="9"/>
      <c r="E1165" s="9"/>
      <c r="F1165" s="54" t="s">
        <v>546</v>
      </c>
      <c r="G1165" s="126">
        <v>634</v>
      </c>
      <c r="H1165" s="9" t="s">
        <v>306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/>
      <c r="O1165" s="10"/>
      <c r="P1165" s="10"/>
      <c r="Q1165" s="10"/>
      <c r="R1165" s="10"/>
      <c r="T1165" s="10">
        <f t="shared" si="320"/>
        <v>0</v>
      </c>
    </row>
    <row r="1166" spans="2:20" x14ac:dyDescent="0.25">
      <c r="B1166" s="97">
        <f t="shared" si="319"/>
        <v>378</v>
      </c>
      <c r="C1166" s="9"/>
      <c r="D1166" s="9"/>
      <c r="E1166" s="9"/>
      <c r="F1166" s="54" t="s">
        <v>546</v>
      </c>
      <c r="G1166" s="126">
        <v>635</v>
      </c>
      <c r="H1166" s="9" t="s">
        <v>320</v>
      </c>
      <c r="I1166" s="10">
        <v>13333</v>
      </c>
      <c r="J1166" s="10">
        <v>12824</v>
      </c>
      <c r="K1166" s="10">
        <v>12824</v>
      </c>
      <c r="L1166" s="10">
        <v>11468</v>
      </c>
      <c r="M1166" s="10">
        <v>0</v>
      </c>
      <c r="N1166" s="10"/>
      <c r="O1166" s="10"/>
      <c r="P1166" s="10"/>
      <c r="Q1166" s="10"/>
      <c r="R1166" s="10"/>
      <c r="T1166" s="10">
        <f t="shared" si="320"/>
        <v>13333</v>
      </c>
    </row>
    <row r="1167" spans="2:20" x14ac:dyDescent="0.25">
      <c r="B1167" s="97">
        <f t="shared" si="319"/>
        <v>379</v>
      </c>
      <c r="C1167" s="9"/>
      <c r="D1167" s="9"/>
      <c r="E1167" s="9"/>
      <c r="F1167" s="54" t="s">
        <v>546</v>
      </c>
      <c r="G1167" s="126">
        <v>636</v>
      </c>
      <c r="H1167" s="9" t="s">
        <v>307</v>
      </c>
      <c r="I1167" s="10">
        <v>40000</v>
      </c>
      <c r="J1167" s="10">
        <v>20000</v>
      </c>
      <c r="K1167" s="10">
        <v>40000</v>
      </c>
      <c r="L1167" s="10">
        <v>20800</v>
      </c>
      <c r="M1167" s="10">
        <v>0</v>
      </c>
      <c r="N1167" s="10"/>
      <c r="O1167" s="10"/>
      <c r="P1167" s="10"/>
      <c r="Q1167" s="10"/>
      <c r="R1167" s="10"/>
      <c r="T1167" s="10">
        <f t="shared" si="320"/>
        <v>40000</v>
      </c>
    </row>
    <row r="1168" spans="2:20" x14ac:dyDescent="0.25">
      <c r="B1168" s="97">
        <f t="shared" si="319"/>
        <v>380</v>
      </c>
      <c r="C1168" s="9"/>
      <c r="D1168" s="9"/>
      <c r="E1168" s="9"/>
      <c r="F1168" s="54" t="s">
        <v>546</v>
      </c>
      <c r="G1168" s="126">
        <v>637</v>
      </c>
      <c r="H1168" s="9" t="s">
        <v>308</v>
      </c>
      <c r="I1168" s="10">
        <v>39190</v>
      </c>
      <c r="J1168" s="10">
        <v>20234</v>
      </c>
      <c r="K1168" s="10">
        <v>32684</v>
      </c>
      <c r="L1168" s="10">
        <v>22767</v>
      </c>
      <c r="M1168" s="10">
        <v>0</v>
      </c>
      <c r="N1168" s="10"/>
      <c r="O1168" s="10"/>
      <c r="P1168" s="10"/>
      <c r="Q1168" s="10"/>
      <c r="R1168" s="10"/>
      <c r="T1168" s="10">
        <f t="shared" si="320"/>
        <v>39190</v>
      </c>
    </row>
    <row r="1169" spans="2:20" x14ac:dyDescent="0.25">
      <c r="B1169" s="97">
        <f t="shared" si="319"/>
        <v>381</v>
      </c>
      <c r="C1169" s="29"/>
      <c r="D1169" s="29"/>
      <c r="E1169" s="29"/>
      <c r="F1169" s="53" t="s">
        <v>546</v>
      </c>
      <c r="G1169" s="125">
        <v>640</v>
      </c>
      <c r="H1169" s="29" t="s">
        <v>315</v>
      </c>
      <c r="I1169" s="15">
        <v>7560</v>
      </c>
      <c r="J1169" s="15">
        <v>4310</v>
      </c>
      <c r="K1169" s="15">
        <v>4310</v>
      </c>
      <c r="L1169" s="15">
        <v>2589</v>
      </c>
      <c r="M1169" s="15">
        <v>0</v>
      </c>
      <c r="N1169" s="15"/>
      <c r="O1169" s="15"/>
      <c r="P1169" s="15"/>
      <c r="Q1169" s="15"/>
      <c r="R1169" s="15"/>
      <c r="T1169" s="15">
        <f t="shared" si="320"/>
        <v>7560</v>
      </c>
    </row>
    <row r="1170" spans="2:20" x14ac:dyDescent="0.25">
      <c r="B1170" s="97">
        <f t="shared" si="319"/>
        <v>382</v>
      </c>
      <c r="C1170" s="29"/>
      <c r="D1170" s="29"/>
      <c r="E1170" s="29"/>
      <c r="F1170" s="53" t="s">
        <v>551</v>
      </c>
      <c r="G1170" s="125">
        <v>630</v>
      </c>
      <c r="H1170" s="29" t="s">
        <v>303</v>
      </c>
      <c r="I1170" s="15">
        <f>I1171</f>
        <v>0</v>
      </c>
      <c r="J1170" s="15">
        <f t="shared" ref="J1170:M1170" si="333">J1171</f>
        <v>0</v>
      </c>
      <c r="K1170" s="15">
        <f t="shared" si="333"/>
        <v>356</v>
      </c>
      <c r="L1170" s="15">
        <f t="shared" si="333"/>
        <v>0</v>
      </c>
      <c r="M1170" s="15">
        <f t="shared" si="333"/>
        <v>0</v>
      </c>
      <c r="N1170" s="15"/>
      <c r="O1170" s="15"/>
      <c r="P1170" s="15"/>
      <c r="Q1170" s="15"/>
      <c r="R1170" s="15"/>
      <c r="T1170" s="15">
        <f t="shared" si="320"/>
        <v>0</v>
      </c>
    </row>
    <row r="1171" spans="2:20" x14ac:dyDescent="0.25">
      <c r="B1171" s="97">
        <f t="shared" si="319"/>
        <v>383</v>
      </c>
      <c r="C1171" s="9"/>
      <c r="D1171" s="9"/>
      <c r="E1171" s="9"/>
      <c r="F1171" s="54" t="s">
        <v>551</v>
      </c>
      <c r="G1171" s="126">
        <v>633</v>
      </c>
      <c r="H1171" s="9" t="s">
        <v>305</v>
      </c>
      <c r="I1171" s="10">
        <v>0</v>
      </c>
      <c r="J1171" s="10">
        <v>0</v>
      </c>
      <c r="K1171" s="10">
        <v>356</v>
      </c>
      <c r="L1171" s="10">
        <v>0</v>
      </c>
      <c r="M1171" s="10">
        <v>0</v>
      </c>
      <c r="N1171" s="10"/>
      <c r="O1171" s="10"/>
      <c r="P1171" s="10"/>
      <c r="Q1171" s="10"/>
      <c r="R1171" s="10"/>
      <c r="T1171" s="10">
        <f t="shared" si="320"/>
        <v>0</v>
      </c>
    </row>
    <row r="1172" spans="2:20" x14ac:dyDescent="0.25">
      <c r="B1172" s="97">
        <f t="shared" si="319"/>
        <v>384</v>
      </c>
      <c r="C1172" s="29"/>
      <c r="D1172" s="29"/>
      <c r="E1172" s="29"/>
      <c r="F1172" s="53" t="s">
        <v>551</v>
      </c>
      <c r="G1172" s="125">
        <v>640</v>
      </c>
      <c r="H1172" s="29" t="s">
        <v>315</v>
      </c>
      <c r="I1172" s="15">
        <v>0</v>
      </c>
      <c r="J1172" s="15">
        <v>0</v>
      </c>
      <c r="K1172" s="15">
        <v>0</v>
      </c>
      <c r="L1172" s="15">
        <v>1198</v>
      </c>
      <c r="M1172" s="15">
        <v>0</v>
      </c>
      <c r="N1172" s="15"/>
      <c r="O1172" s="15"/>
      <c r="P1172" s="15"/>
      <c r="Q1172" s="15"/>
      <c r="R1172" s="15"/>
      <c r="T1172" s="15">
        <f t="shared" si="320"/>
        <v>0</v>
      </c>
    </row>
    <row r="1173" spans="2:20" x14ac:dyDescent="0.25">
      <c r="B1173" s="97">
        <f t="shared" si="319"/>
        <v>385</v>
      </c>
      <c r="C1173" s="29"/>
      <c r="D1173" s="29"/>
      <c r="E1173" s="29"/>
      <c r="F1173" s="53"/>
      <c r="G1173" s="125">
        <v>630</v>
      </c>
      <c r="H1173" s="29" t="s">
        <v>539</v>
      </c>
      <c r="I1173" s="15">
        <v>0</v>
      </c>
      <c r="J1173" s="15"/>
      <c r="K1173" s="15">
        <v>84</v>
      </c>
      <c r="L1173" s="15">
        <v>494</v>
      </c>
      <c r="M1173" s="15">
        <f>15704+26835</f>
        <v>42539</v>
      </c>
      <c r="N1173" s="15"/>
      <c r="O1173" s="15"/>
      <c r="P1173" s="15"/>
      <c r="Q1173" s="15"/>
      <c r="R1173" s="15"/>
      <c r="T1173" s="15">
        <f t="shared" si="320"/>
        <v>0</v>
      </c>
    </row>
    <row r="1174" spans="2:20" x14ac:dyDescent="0.25">
      <c r="B1174" s="97">
        <f t="shared" ref="B1174:B1193" si="334">B1173+1</f>
        <v>386</v>
      </c>
      <c r="C1174" s="49"/>
      <c r="D1174" s="49"/>
      <c r="E1174" s="49">
        <v>9</v>
      </c>
      <c r="F1174" s="49"/>
      <c r="G1174" s="123"/>
      <c r="H1174" s="49" t="s">
        <v>187</v>
      </c>
      <c r="I1174" s="50">
        <f>I1175</f>
        <v>578019</v>
      </c>
      <c r="J1174" s="50">
        <f t="shared" ref="J1174:M1174" si="335">J1175</f>
        <v>538350</v>
      </c>
      <c r="K1174" s="50">
        <f t="shared" si="335"/>
        <v>549179</v>
      </c>
      <c r="L1174" s="50">
        <f t="shared" si="335"/>
        <v>544753.98</v>
      </c>
      <c r="M1174" s="50">
        <f t="shared" si="335"/>
        <v>541088</v>
      </c>
      <c r="N1174" s="50">
        <f>N1198</f>
        <v>99000</v>
      </c>
      <c r="O1174" s="50">
        <f t="shared" ref="O1174:R1174" si="336">O1198</f>
        <v>64000</v>
      </c>
      <c r="P1174" s="50">
        <f t="shared" si="336"/>
        <v>102000</v>
      </c>
      <c r="Q1174" s="50">
        <f t="shared" si="336"/>
        <v>300</v>
      </c>
      <c r="R1174" s="50">
        <f t="shared" si="336"/>
        <v>0</v>
      </c>
      <c r="T1174" s="50">
        <f t="shared" si="320"/>
        <v>677019</v>
      </c>
    </row>
    <row r="1175" spans="2:20" ht="14.25" hidden="1" customHeight="1" x14ac:dyDescent="0.25">
      <c r="B1175" s="97">
        <f t="shared" si="334"/>
        <v>387</v>
      </c>
      <c r="C1175" s="51"/>
      <c r="D1175" s="51"/>
      <c r="E1175" s="51" t="s">
        <v>60</v>
      </c>
      <c r="F1175" s="51"/>
      <c r="G1175" s="124"/>
      <c r="H1175" s="51"/>
      <c r="I1175" s="52">
        <f>I1176+I1177+I1178+I1184+I1185+I1186+I1187+I1193+I1194+I1195+I1197+I1198</f>
        <v>578019</v>
      </c>
      <c r="J1175" s="52">
        <f>J1198+J1195+J1193+J1187+J1186+J1185+J1184+J1178+J1177+J1176</f>
        <v>538350</v>
      </c>
      <c r="K1175" s="52">
        <f>K1198+K1195+K1193+K1187+K1186+K1185+K1184+K1178+K1177+K1176+K1194+K1197</f>
        <v>549179</v>
      </c>
      <c r="L1175" s="52">
        <f>L1198+L1195+L1193+L1187+L1186+L1185+L1184+L1178+L1177+L1176+L1194+L1197</f>
        <v>544753.98</v>
      </c>
      <c r="M1175" s="52">
        <f>M1198+M1195+M1193+M1187+M1186+M1185+M1184+M1178+M1177+M1176+M1197</f>
        <v>541088</v>
      </c>
      <c r="N1175" s="52"/>
      <c r="O1175" s="52">
        <v>0</v>
      </c>
      <c r="P1175" s="52">
        <v>0</v>
      </c>
      <c r="Q1175" s="52">
        <v>0</v>
      </c>
      <c r="R1175" s="52">
        <v>0</v>
      </c>
      <c r="T1175" s="52">
        <f t="shared" si="320"/>
        <v>578019</v>
      </c>
    </row>
    <row r="1176" spans="2:20" x14ac:dyDescent="0.25">
      <c r="B1176" s="97">
        <f t="shared" si="334"/>
        <v>388</v>
      </c>
      <c r="C1176" s="29"/>
      <c r="D1176" s="29"/>
      <c r="E1176" s="29"/>
      <c r="F1176" s="53" t="s">
        <v>543</v>
      </c>
      <c r="G1176" s="125">
        <v>610</v>
      </c>
      <c r="H1176" s="29" t="s">
        <v>338</v>
      </c>
      <c r="I1176" s="15">
        <v>168000</v>
      </c>
      <c r="J1176" s="15">
        <v>158605</v>
      </c>
      <c r="K1176" s="15">
        <v>158605</v>
      </c>
      <c r="L1176" s="15">
        <v>156632</v>
      </c>
      <c r="M1176" s="15">
        <v>300885</v>
      </c>
      <c r="N1176" s="15"/>
      <c r="O1176" s="15"/>
      <c r="P1176" s="15"/>
      <c r="Q1176" s="15"/>
      <c r="R1176" s="15"/>
      <c r="T1176" s="15">
        <f t="shared" ref="T1176:T1239" si="337">I1176+N1176</f>
        <v>168000</v>
      </c>
    </row>
    <row r="1177" spans="2:20" x14ac:dyDescent="0.25">
      <c r="B1177" s="97">
        <f t="shared" si="334"/>
        <v>389</v>
      </c>
      <c r="C1177" s="29"/>
      <c r="D1177" s="29"/>
      <c r="E1177" s="29"/>
      <c r="F1177" s="53" t="s">
        <v>543</v>
      </c>
      <c r="G1177" s="125">
        <v>620</v>
      </c>
      <c r="H1177" s="29" t="s">
        <v>313</v>
      </c>
      <c r="I1177" s="15">
        <v>61250</v>
      </c>
      <c r="J1177" s="15">
        <v>56233</v>
      </c>
      <c r="K1177" s="15">
        <v>56233</v>
      </c>
      <c r="L1177" s="15">
        <v>55827</v>
      </c>
      <c r="M1177" s="15">
        <v>107591</v>
      </c>
      <c r="N1177" s="15"/>
      <c r="O1177" s="15"/>
      <c r="P1177" s="15"/>
      <c r="Q1177" s="15"/>
      <c r="R1177" s="15"/>
      <c r="T1177" s="15">
        <f t="shared" si="337"/>
        <v>61250</v>
      </c>
    </row>
    <row r="1178" spans="2:20" x14ac:dyDescent="0.25">
      <c r="B1178" s="97">
        <f t="shared" si="334"/>
        <v>390</v>
      </c>
      <c r="C1178" s="29"/>
      <c r="D1178" s="29"/>
      <c r="E1178" s="29"/>
      <c r="F1178" s="53" t="s">
        <v>543</v>
      </c>
      <c r="G1178" s="125">
        <v>630</v>
      </c>
      <c r="H1178" s="29" t="s">
        <v>303</v>
      </c>
      <c r="I1178" s="15">
        <f>I1179+I1180+I1181+I1182+I1183</f>
        <v>40351</v>
      </c>
      <c r="J1178" s="15">
        <f t="shared" ref="J1178:M1178" si="338">J1183+J1182+J1181+J1180+J1179</f>
        <v>39285</v>
      </c>
      <c r="K1178" s="15">
        <f t="shared" si="338"/>
        <v>41285</v>
      </c>
      <c r="L1178" s="15">
        <f t="shared" si="338"/>
        <v>38890.879999999997</v>
      </c>
      <c r="M1178" s="15">
        <f t="shared" si="338"/>
        <v>68345</v>
      </c>
      <c r="N1178" s="15"/>
      <c r="O1178" s="15"/>
      <c r="P1178" s="15"/>
      <c r="Q1178" s="15"/>
      <c r="R1178" s="15"/>
      <c r="T1178" s="15">
        <f t="shared" si="337"/>
        <v>40351</v>
      </c>
    </row>
    <row r="1179" spans="2:20" x14ac:dyDescent="0.25">
      <c r="B1179" s="97">
        <f t="shared" si="334"/>
        <v>391</v>
      </c>
      <c r="C1179" s="9"/>
      <c r="D1179" s="9"/>
      <c r="E1179" s="9"/>
      <c r="F1179" s="54" t="s">
        <v>543</v>
      </c>
      <c r="G1179" s="126">
        <v>631</v>
      </c>
      <c r="H1179" s="9" t="s">
        <v>304</v>
      </c>
      <c r="I1179" s="10">
        <v>101</v>
      </c>
      <c r="J1179" s="10">
        <v>25</v>
      </c>
      <c r="K1179" s="10">
        <v>65</v>
      </c>
      <c r="L1179" s="10">
        <v>124.35</v>
      </c>
      <c r="M1179" s="10">
        <v>64</v>
      </c>
      <c r="N1179" s="10"/>
      <c r="O1179" s="10"/>
      <c r="P1179" s="10"/>
      <c r="Q1179" s="10"/>
      <c r="R1179" s="10"/>
      <c r="T1179" s="10">
        <f t="shared" si="337"/>
        <v>101</v>
      </c>
    </row>
    <row r="1180" spans="2:20" x14ac:dyDescent="0.25">
      <c r="B1180" s="97">
        <f t="shared" si="334"/>
        <v>392</v>
      </c>
      <c r="C1180" s="9"/>
      <c r="D1180" s="9"/>
      <c r="E1180" s="9"/>
      <c r="F1180" s="54" t="s">
        <v>543</v>
      </c>
      <c r="G1180" s="126">
        <v>632</v>
      </c>
      <c r="H1180" s="9" t="s">
        <v>314</v>
      </c>
      <c r="I1180" s="10">
        <v>16920</v>
      </c>
      <c r="J1180" s="10">
        <v>20700</v>
      </c>
      <c r="K1180" s="10">
        <v>20660</v>
      </c>
      <c r="L1180" s="10">
        <v>13041.73</v>
      </c>
      <c r="M1180" s="10">
        <v>18546</v>
      </c>
      <c r="N1180" s="10"/>
      <c r="O1180" s="10"/>
      <c r="P1180" s="10"/>
      <c r="Q1180" s="10"/>
      <c r="R1180" s="10"/>
      <c r="T1180" s="10">
        <f t="shared" si="337"/>
        <v>16920</v>
      </c>
    </row>
    <row r="1181" spans="2:20" x14ac:dyDescent="0.25">
      <c r="B1181" s="97">
        <f t="shared" si="334"/>
        <v>393</v>
      </c>
      <c r="C1181" s="9"/>
      <c r="D1181" s="9"/>
      <c r="E1181" s="9"/>
      <c r="F1181" s="54" t="s">
        <v>543</v>
      </c>
      <c r="G1181" s="126">
        <v>633</v>
      </c>
      <c r="H1181" s="9" t="s">
        <v>305</v>
      </c>
      <c r="I1181" s="10">
        <v>4918</v>
      </c>
      <c r="J1181" s="10">
        <v>6768</v>
      </c>
      <c r="K1181" s="10">
        <v>6768</v>
      </c>
      <c r="L1181" s="10">
        <v>7165</v>
      </c>
      <c r="M1181" s="10">
        <v>8604</v>
      </c>
      <c r="N1181" s="10"/>
      <c r="O1181" s="10"/>
      <c r="P1181" s="10"/>
      <c r="Q1181" s="10"/>
      <c r="R1181" s="10"/>
      <c r="T1181" s="10">
        <f t="shared" si="337"/>
        <v>4918</v>
      </c>
    </row>
    <row r="1182" spans="2:20" x14ac:dyDescent="0.25">
      <c r="B1182" s="97">
        <f t="shared" si="334"/>
        <v>394</v>
      </c>
      <c r="C1182" s="9"/>
      <c r="D1182" s="9"/>
      <c r="E1182" s="9"/>
      <c r="F1182" s="54" t="s">
        <v>543</v>
      </c>
      <c r="G1182" s="126">
        <v>635</v>
      </c>
      <c r="H1182" s="9" t="s">
        <v>320</v>
      </c>
      <c r="I1182" s="10">
        <v>1300</v>
      </c>
      <c r="J1182" s="10">
        <v>1480</v>
      </c>
      <c r="K1182" s="10">
        <v>3480</v>
      </c>
      <c r="L1182" s="10">
        <v>933.8</v>
      </c>
      <c r="M1182" s="10">
        <v>23836</v>
      </c>
      <c r="N1182" s="10"/>
      <c r="O1182" s="10"/>
      <c r="P1182" s="10"/>
      <c r="Q1182" s="10"/>
      <c r="R1182" s="10"/>
      <c r="T1182" s="10">
        <f t="shared" si="337"/>
        <v>1300</v>
      </c>
    </row>
    <row r="1183" spans="2:20" x14ac:dyDescent="0.25">
      <c r="B1183" s="97">
        <f t="shared" si="334"/>
        <v>395</v>
      </c>
      <c r="C1183" s="9"/>
      <c r="D1183" s="9"/>
      <c r="E1183" s="9"/>
      <c r="F1183" s="54" t="s">
        <v>543</v>
      </c>
      <c r="G1183" s="126">
        <v>637</v>
      </c>
      <c r="H1183" s="9" t="s">
        <v>308</v>
      </c>
      <c r="I1183" s="10">
        <v>17112</v>
      </c>
      <c r="J1183" s="10">
        <v>10312</v>
      </c>
      <c r="K1183" s="10">
        <v>10312</v>
      </c>
      <c r="L1183" s="10">
        <v>17626</v>
      </c>
      <c r="M1183" s="10">
        <v>17295</v>
      </c>
      <c r="N1183" s="10"/>
      <c r="O1183" s="10"/>
      <c r="P1183" s="10"/>
      <c r="Q1183" s="10"/>
      <c r="R1183" s="10"/>
      <c r="T1183" s="10">
        <f t="shared" si="337"/>
        <v>17112</v>
      </c>
    </row>
    <row r="1184" spans="2:20" x14ac:dyDescent="0.25">
      <c r="B1184" s="97">
        <f t="shared" si="334"/>
        <v>396</v>
      </c>
      <c r="C1184" s="29"/>
      <c r="D1184" s="29"/>
      <c r="E1184" s="29"/>
      <c r="F1184" s="53" t="s">
        <v>543</v>
      </c>
      <c r="G1184" s="125">
        <v>640</v>
      </c>
      <c r="H1184" s="29" t="s">
        <v>315</v>
      </c>
      <c r="I1184" s="15">
        <v>1850</v>
      </c>
      <c r="J1184" s="15">
        <v>1550</v>
      </c>
      <c r="K1184" s="15">
        <v>1550</v>
      </c>
      <c r="L1184" s="15">
        <v>2420</v>
      </c>
      <c r="M1184" s="15">
        <f>1956+129+2389</f>
        <v>4474</v>
      </c>
      <c r="N1184" s="15"/>
      <c r="O1184" s="15"/>
      <c r="P1184" s="15"/>
      <c r="Q1184" s="15"/>
      <c r="R1184" s="15"/>
      <c r="T1184" s="15">
        <f t="shared" si="337"/>
        <v>1850</v>
      </c>
    </row>
    <row r="1185" spans="2:20" x14ac:dyDescent="0.25">
      <c r="B1185" s="97">
        <f t="shared" si="334"/>
        <v>397</v>
      </c>
      <c r="C1185" s="29"/>
      <c r="D1185" s="29"/>
      <c r="E1185" s="29"/>
      <c r="F1185" s="53" t="s">
        <v>546</v>
      </c>
      <c r="G1185" s="125">
        <v>610</v>
      </c>
      <c r="H1185" s="29" t="s">
        <v>338</v>
      </c>
      <c r="I1185" s="15">
        <v>187700</v>
      </c>
      <c r="J1185" s="15">
        <v>172879</v>
      </c>
      <c r="K1185" s="15">
        <v>173027</v>
      </c>
      <c r="L1185" s="15">
        <v>170032</v>
      </c>
      <c r="M1185" s="15">
        <v>0</v>
      </c>
      <c r="N1185" s="15"/>
      <c r="O1185" s="15"/>
      <c r="P1185" s="15"/>
      <c r="Q1185" s="15"/>
      <c r="R1185" s="15"/>
      <c r="T1185" s="15">
        <f t="shared" si="337"/>
        <v>187700</v>
      </c>
    </row>
    <row r="1186" spans="2:20" x14ac:dyDescent="0.25">
      <c r="B1186" s="97">
        <f t="shared" si="334"/>
        <v>398</v>
      </c>
      <c r="C1186" s="29"/>
      <c r="D1186" s="29"/>
      <c r="E1186" s="29"/>
      <c r="F1186" s="53" t="s">
        <v>546</v>
      </c>
      <c r="G1186" s="125">
        <v>620</v>
      </c>
      <c r="H1186" s="29" t="s">
        <v>313</v>
      </c>
      <c r="I1186" s="15">
        <v>68137</v>
      </c>
      <c r="J1186" s="15">
        <v>61222</v>
      </c>
      <c r="K1186" s="15">
        <v>61274</v>
      </c>
      <c r="L1186" s="15">
        <v>60435.78</v>
      </c>
      <c r="M1186" s="15">
        <v>0</v>
      </c>
      <c r="N1186" s="15"/>
      <c r="O1186" s="15"/>
      <c r="P1186" s="15"/>
      <c r="Q1186" s="15"/>
      <c r="R1186" s="15"/>
      <c r="T1186" s="15">
        <f t="shared" si="337"/>
        <v>68137</v>
      </c>
    </row>
    <row r="1187" spans="2:20" x14ac:dyDescent="0.25">
      <c r="B1187" s="97">
        <f t="shared" si="334"/>
        <v>399</v>
      </c>
      <c r="C1187" s="29"/>
      <c r="D1187" s="29"/>
      <c r="E1187" s="29"/>
      <c r="F1187" s="53" t="s">
        <v>546</v>
      </c>
      <c r="G1187" s="125">
        <v>630</v>
      </c>
      <c r="H1187" s="29" t="s">
        <v>303</v>
      </c>
      <c r="I1187" s="15">
        <f>I1188+I1189+I1190+I1191+I1192</f>
        <v>48881</v>
      </c>
      <c r="J1187" s="15">
        <f t="shared" ref="J1187:M1187" si="339">J1192+J1191+J1190+J1189+J1188</f>
        <v>47026</v>
      </c>
      <c r="K1187" s="15">
        <f t="shared" si="339"/>
        <v>54726</v>
      </c>
      <c r="L1187" s="15">
        <f t="shared" si="339"/>
        <v>44114.32</v>
      </c>
      <c r="M1187" s="15">
        <f t="shared" si="339"/>
        <v>0</v>
      </c>
      <c r="N1187" s="15"/>
      <c r="O1187" s="15"/>
      <c r="P1187" s="15"/>
      <c r="Q1187" s="15"/>
      <c r="R1187" s="15"/>
      <c r="T1187" s="15">
        <f t="shared" si="337"/>
        <v>48881</v>
      </c>
    </row>
    <row r="1188" spans="2:20" x14ac:dyDescent="0.25">
      <c r="B1188" s="97">
        <f t="shared" si="334"/>
        <v>400</v>
      </c>
      <c r="C1188" s="9"/>
      <c r="D1188" s="9"/>
      <c r="E1188" s="9"/>
      <c r="F1188" s="54" t="s">
        <v>546</v>
      </c>
      <c r="G1188" s="126">
        <v>631</v>
      </c>
      <c r="H1188" s="9" t="s">
        <v>304</v>
      </c>
      <c r="I1188" s="10">
        <v>101</v>
      </c>
      <c r="J1188" s="10">
        <v>25</v>
      </c>
      <c r="K1188" s="10">
        <v>65</v>
      </c>
      <c r="L1188" s="10">
        <v>124.35</v>
      </c>
      <c r="M1188" s="10">
        <v>0</v>
      </c>
      <c r="N1188" s="10"/>
      <c r="O1188" s="10"/>
      <c r="P1188" s="10"/>
      <c r="Q1188" s="10"/>
      <c r="R1188" s="10"/>
      <c r="T1188" s="10">
        <f t="shared" si="337"/>
        <v>101</v>
      </c>
    </row>
    <row r="1189" spans="2:20" x14ac:dyDescent="0.25">
      <c r="B1189" s="97">
        <f t="shared" si="334"/>
        <v>401</v>
      </c>
      <c r="C1189" s="9"/>
      <c r="D1189" s="9"/>
      <c r="E1189" s="9"/>
      <c r="F1189" s="54" t="s">
        <v>546</v>
      </c>
      <c r="G1189" s="126">
        <v>632</v>
      </c>
      <c r="H1189" s="9" t="s">
        <v>314</v>
      </c>
      <c r="I1189" s="10">
        <v>16920</v>
      </c>
      <c r="J1189" s="10">
        <v>20700</v>
      </c>
      <c r="K1189" s="10">
        <v>20660</v>
      </c>
      <c r="L1189" s="10">
        <v>13041.54</v>
      </c>
      <c r="M1189" s="10">
        <v>0</v>
      </c>
      <c r="N1189" s="10"/>
      <c r="O1189" s="10"/>
      <c r="P1189" s="10"/>
      <c r="Q1189" s="10"/>
      <c r="R1189" s="10"/>
      <c r="T1189" s="10">
        <f t="shared" si="337"/>
        <v>16920</v>
      </c>
    </row>
    <row r="1190" spans="2:20" x14ac:dyDescent="0.25">
      <c r="B1190" s="97">
        <f t="shared" si="334"/>
        <v>402</v>
      </c>
      <c r="C1190" s="9"/>
      <c r="D1190" s="9"/>
      <c r="E1190" s="9"/>
      <c r="F1190" s="54" t="s">
        <v>546</v>
      </c>
      <c r="G1190" s="126">
        <v>633</v>
      </c>
      <c r="H1190" s="9" t="s">
        <v>305</v>
      </c>
      <c r="I1190" s="10">
        <v>10198</v>
      </c>
      <c r="J1190" s="10">
        <v>11808</v>
      </c>
      <c r="K1190" s="10">
        <v>13308</v>
      </c>
      <c r="L1190" s="10">
        <v>9554</v>
      </c>
      <c r="M1190" s="10">
        <v>0</v>
      </c>
      <c r="N1190" s="10"/>
      <c r="O1190" s="10"/>
      <c r="P1190" s="10"/>
      <c r="Q1190" s="10"/>
      <c r="R1190" s="10"/>
      <c r="T1190" s="10">
        <f t="shared" si="337"/>
        <v>10198</v>
      </c>
    </row>
    <row r="1191" spans="2:20" x14ac:dyDescent="0.25">
      <c r="B1191" s="97">
        <f t="shared" si="334"/>
        <v>403</v>
      </c>
      <c r="C1191" s="9"/>
      <c r="D1191" s="9"/>
      <c r="E1191" s="9"/>
      <c r="F1191" s="54" t="s">
        <v>546</v>
      </c>
      <c r="G1191" s="126">
        <v>635</v>
      </c>
      <c r="H1191" s="9" t="s">
        <v>320</v>
      </c>
      <c r="I1191" s="10">
        <v>4299</v>
      </c>
      <c r="J1191" s="10">
        <v>4180</v>
      </c>
      <c r="K1191" s="10">
        <v>6180</v>
      </c>
      <c r="L1191" s="10">
        <v>3769.43</v>
      </c>
      <c r="M1191" s="10">
        <v>0</v>
      </c>
      <c r="N1191" s="10"/>
      <c r="O1191" s="10"/>
      <c r="P1191" s="10"/>
      <c r="Q1191" s="10"/>
      <c r="R1191" s="10"/>
      <c r="T1191" s="10">
        <f t="shared" si="337"/>
        <v>4299</v>
      </c>
    </row>
    <row r="1192" spans="2:20" x14ac:dyDescent="0.25">
      <c r="B1192" s="97">
        <f t="shared" si="334"/>
        <v>404</v>
      </c>
      <c r="C1192" s="9"/>
      <c r="D1192" s="9"/>
      <c r="E1192" s="9"/>
      <c r="F1192" s="54" t="s">
        <v>546</v>
      </c>
      <c r="G1192" s="126">
        <v>637</v>
      </c>
      <c r="H1192" s="9" t="s">
        <v>308</v>
      </c>
      <c r="I1192" s="10">
        <v>17363</v>
      </c>
      <c r="J1192" s="10">
        <v>10313</v>
      </c>
      <c r="K1192" s="10">
        <v>14513</v>
      </c>
      <c r="L1192" s="10">
        <v>17625</v>
      </c>
      <c r="M1192" s="10">
        <v>0</v>
      </c>
      <c r="N1192" s="10"/>
      <c r="O1192" s="10"/>
      <c r="P1192" s="10"/>
      <c r="Q1192" s="10"/>
      <c r="R1192" s="10"/>
      <c r="T1192" s="10">
        <f t="shared" si="337"/>
        <v>17363</v>
      </c>
    </row>
    <row r="1193" spans="2:20" x14ac:dyDescent="0.25">
      <c r="B1193" s="97">
        <f t="shared" si="334"/>
        <v>405</v>
      </c>
      <c r="C1193" s="29"/>
      <c r="D1193" s="29"/>
      <c r="E1193" s="29"/>
      <c r="F1193" s="53" t="s">
        <v>546</v>
      </c>
      <c r="G1193" s="125">
        <v>640</v>
      </c>
      <c r="H1193" s="29" t="s">
        <v>315</v>
      </c>
      <c r="I1193" s="15">
        <v>1850</v>
      </c>
      <c r="J1193" s="15">
        <v>1550</v>
      </c>
      <c r="K1193" s="15">
        <v>1550</v>
      </c>
      <c r="L1193" s="15">
        <v>1595</v>
      </c>
      <c r="M1193" s="15">
        <v>0</v>
      </c>
      <c r="N1193" s="15"/>
      <c r="O1193" s="15"/>
      <c r="P1193" s="15"/>
      <c r="Q1193" s="15"/>
      <c r="R1193" s="15"/>
      <c r="T1193" s="15">
        <f t="shared" si="337"/>
        <v>1850</v>
      </c>
    </row>
    <row r="1194" spans="2:20" x14ac:dyDescent="0.25">
      <c r="B1194" s="97">
        <f t="shared" ref="B1194:B1215" si="340">B1193+1</f>
        <v>406</v>
      </c>
      <c r="C1194" s="29"/>
      <c r="D1194" s="29"/>
      <c r="E1194" s="29"/>
      <c r="F1194" s="53" t="s">
        <v>552</v>
      </c>
      <c r="G1194" s="125">
        <v>630</v>
      </c>
      <c r="H1194" s="29" t="s">
        <v>553</v>
      </c>
      <c r="I1194" s="15">
        <v>0</v>
      </c>
      <c r="J1194" s="15"/>
      <c r="K1194" s="15">
        <v>600</v>
      </c>
      <c r="L1194" s="15"/>
      <c r="M1194" s="15"/>
      <c r="N1194" s="15"/>
      <c r="O1194" s="15"/>
      <c r="P1194" s="15"/>
      <c r="Q1194" s="15"/>
      <c r="R1194" s="15"/>
      <c r="T1194" s="15">
        <f t="shared" si="337"/>
        <v>0</v>
      </c>
    </row>
    <row r="1195" spans="2:20" x14ac:dyDescent="0.25">
      <c r="B1195" s="97">
        <f t="shared" si="340"/>
        <v>407</v>
      </c>
      <c r="C1195" s="29"/>
      <c r="D1195" s="29"/>
      <c r="E1195" s="29"/>
      <c r="F1195" s="53" t="s">
        <v>551</v>
      </c>
      <c r="G1195" s="125">
        <v>630</v>
      </c>
      <c r="H1195" s="29" t="s">
        <v>303</v>
      </c>
      <c r="I1195" s="15">
        <f>I1196</f>
        <v>0</v>
      </c>
      <c r="J1195" s="15">
        <f t="shared" ref="J1195:M1195" si="341">J1196</f>
        <v>0</v>
      </c>
      <c r="K1195" s="15">
        <f t="shared" si="341"/>
        <v>173</v>
      </c>
      <c r="L1195" s="15">
        <f t="shared" si="341"/>
        <v>1785</v>
      </c>
      <c r="M1195" s="15">
        <f t="shared" si="341"/>
        <v>0</v>
      </c>
      <c r="N1195" s="15"/>
      <c r="O1195" s="15"/>
      <c r="P1195" s="15"/>
      <c r="Q1195" s="15"/>
      <c r="R1195" s="15"/>
      <c r="T1195" s="15">
        <f t="shared" si="337"/>
        <v>0</v>
      </c>
    </row>
    <row r="1196" spans="2:20" x14ac:dyDescent="0.25">
      <c r="B1196" s="97">
        <f t="shared" si="340"/>
        <v>408</v>
      </c>
      <c r="C1196" s="9"/>
      <c r="D1196" s="9"/>
      <c r="E1196" s="9"/>
      <c r="F1196" s="54" t="s">
        <v>551</v>
      </c>
      <c r="G1196" s="126">
        <v>633</v>
      </c>
      <c r="H1196" s="9" t="s">
        <v>305</v>
      </c>
      <c r="I1196" s="10">
        <v>0</v>
      </c>
      <c r="J1196" s="10">
        <v>0</v>
      </c>
      <c r="K1196" s="10">
        <v>173</v>
      </c>
      <c r="L1196" s="10">
        <v>1785</v>
      </c>
      <c r="M1196" s="10">
        <v>0</v>
      </c>
      <c r="N1196" s="10"/>
      <c r="O1196" s="10"/>
      <c r="P1196" s="10"/>
      <c r="Q1196" s="10"/>
      <c r="R1196" s="10"/>
      <c r="T1196" s="10">
        <f t="shared" si="337"/>
        <v>0</v>
      </c>
    </row>
    <row r="1197" spans="2:20" x14ac:dyDescent="0.25">
      <c r="B1197" s="97">
        <f t="shared" si="340"/>
        <v>409</v>
      </c>
      <c r="C1197" s="9"/>
      <c r="D1197" s="9"/>
      <c r="E1197" s="9"/>
      <c r="F1197" s="54"/>
      <c r="G1197" s="125">
        <v>630</v>
      </c>
      <c r="H1197" s="29" t="s">
        <v>539</v>
      </c>
      <c r="I1197" s="10">
        <v>0</v>
      </c>
      <c r="J1197" s="10"/>
      <c r="K1197" s="8">
        <v>156</v>
      </c>
      <c r="L1197" s="8">
        <v>13022</v>
      </c>
      <c r="M1197" s="8">
        <f>32477+27316</f>
        <v>59793</v>
      </c>
      <c r="N1197" s="10"/>
      <c r="O1197" s="10"/>
      <c r="P1197" s="10"/>
      <c r="Q1197" s="10"/>
      <c r="R1197" s="10"/>
      <c r="T1197" s="10">
        <f t="shared" si="337"/>
        <v>0</v>
      </c>
    </row>
    <row r="1198" spans="2:20" x14ac:dyDescent="0.25">
      <c r="B1198" s="97">
        <f t="shared" si="340"/>
        <v>410</v>
      </c>
      <c r="C1198" s="29"/>
      <c r="D1198" s="29"/>
      <c r="E1198" s="29"/>
      <c r="F1198" s="53" t="s">
        <v>546</v>
      </c>
      <c r="G1198" s="125">
        <v>710</v>
      </c>
      <c r="H1198" s="29" t="s">
        <v>321</v>
      </c>
      <c r="I1198" s="15"/>
      <c r="J1198" s="15"/>
      <c r="K1198" s="15"/>
      <c r="L1198" s="15"/>
      <c r="M1198" s="15"/>
      <c r="N1198" s="15">
        <f>N1199+N1201</f>
        <v>99000</v>
      </c>
      <c r="O1198" s="15">
        <f t="shared" ref="O1198:R1198" si="342">O1199+O1201</f>
        <v>64000</v>
      </c>
      <c r="P1198" s="15">
        <f t="shared" si="342"/>
        <v>102000</v>
      </c>
      <c r="Q1198" s="15">
        <f t="shared" si="342"/>
        <v>300</v>
      </c>
      <c r="R1198" s="15">
        <f t="shared" si="342"/>
        <v>0</v>
      </c>
      <c r="T1198" s="15">
        <f t="shared" si="337"/>
        <v>99000</v>
      </c>
    </row>
    <row r="1199" spans="2:20" x14ac:dyDescent="0.25">
      <c r="B1199" s="97">
        <f t="shared" si="340"/>
        <v>411</v>
      </c>
      <c r="C1199" s="29"/>
      <c r="D1199" s="29"/>
      <c r="E1199" s="29"/>
      <c r="F1199" s="55" t="s">
        <v>546</v>
      </c>
      <c r="G1199" s="126">
        <v>716</v>
      </c>
      <c r="H1199" s="9" t="s">
        <v>323</v>
      </c>
      <c r="I1199" s="15"/>
      <c r="J1199" s="15"/>
      <c r="K1199" s="15"/>
      <c r="L1199" s="15"/>
      <c r="M1199" s="15"/>
      <c r="N1199" s="16"/>
      <c r="O1199" s="16"/>
      <c r="P1199" s="16">
        <f t="shared" ref="P1199" si="343">P1200</f>
        <v>4000</v>
      </c>
      <c r="Q1199" s="16"/>
      <c r="R1199" s="16"/>
      <c r="T1199" s="16">
        <f t="shared" si="337"/>
        <v>0</v>
      </c>
    </row>
    <row r="1200" spans="2:20" x14ac:dyDescent="0.25">
      <c r="B1200" s="97">
        <f t="shared" si="340"/>
        <v>412</v>
      </c>
      <c r="C1200" s="12"/>
      <c r="D1200" s="12"/>
      <c r="E1200" s="12"/>
      <c r="F1200" s="12"/>
      <c r="G1200" s="127"/>
      <c r="H1200" s="12" t="s">
        <v>882</v>
      </c>
      <c r="I1200" s="13"/>
      <c r="J1200" s="13"/>
      <c r="K1200" s="13"/>
      <c r="L1200" s="13"/>
      <c r="M1200" s="13"/>
      <c r="N1200" s="13"/>
      <c r="O1200" s="13"/>
      <c r="P1200" s="13">
        <v>4000</v>
      </c>
      <c r="Q1200" s="13"/>
      <c r="R1200" s="13"/>
      <c r="T1200" s="13">
        <f t="shared" si="337"/>
        <v>0</v>
      </c>
    </row>
    <row r="1201" spans="2:20" x14ac:dyDescent="0.25">
      <c r="B1201" s="97">
        <f t="shared" si="340"/>
        <v>413</v>
      </c>
      <c r="C1201" s="9"/>
      <c r="D1201" s="9"/>
      <c r="E1201" s="9"/>
      <c r="F1201" s="54" t="s">
        <v>546</v>
      </c>
      <c r="G1201" s="126">
        <v>717</v>
      </c>
      <c r="H1201" s="9" t="s">
        <v>327</v>
      </c>
      <c r="I1201" s="10"/>
      <c r="J1201" s="10"/>
      <c r="K1201" s="10"/>
      <c r="L1201" s="10"/>
      <c r="M1201" s="10"/>
      <c r="N1201" s="10">
        <f>N1202+N1203+N1204</f>
        <v>99000</v>
      </c>
      <c r="O1201" s="10">
        <f t="shared" ref="O1201:Q1201" si="344">O1202+O1203</f>
        <v>64000</v>
      </c>
      <c r="P1201" s="10">
        <f t="shared" si="344"/>
        <v>98000</v>
      </c>
      <c r="Q1201" s="10">
        <f t="shared" si="344"/>
        <v>300</v>
      </c>
      <c r="R1201" s="10"/>
      <c r="T1201" s="10">
        <f t="shared" si="337"/>
        <v>99000</v>
      </c>
    </row>
    <row r="1202" spans="2:20" x14ac:dyDescent="0.25">
      <c r="B1202" s="97">
        <f t="shared" si="340"/>
        <v>414</v>
      </c>
      <c r="C1202" s="9"/>
      <c r="D1202" s="9"/>
      <c r="E1202" s="9"/>
      <c r="F1202" s="54"/>
      <c r="G1202" s="126"/>
      <c r="H1202" s="91" t="s">
        <v>887</v>
      </c>
      <c r="I1202" s="10"/>
      <c r="J1202" s="10"/>
      <c r="K1202" s="10"/>
      <c r="L1202" s="10"/>
      <c r="M1202" s="10"/>
      <c r="N1202" s="13">
        <v>17000</v>
      </c>
      <c r="O1202" s="10"/>
      <c r="P1202" s="10">
        <v>17000</v>
      </c>
      <c r="Q1202" s="10"/>
      <c r="R1202" s="10"/>
      <c r="T1202" s="10">
        <f t="shared" si="337"/>
        <v>17000</v>
      </c>
    </row>
    <row r="1203" spans="2:20" x14ac:dyDescent="0.25">
      <c r="B1203" s="97">
        <f t="shared" si="340"/>
        <v>415</v>
      </c>
      <c r="C1203" s="12"/>
      <c r="D1203" s="12"/>
      <c r="E1203" s="12"/>
      <c r="F1203" s="12"/>
      <c r="G1203" s="127"/>
      <c r="H1203" s="91" t="s">
        <v>888</v>
      </c>
      <c r="I1203" s="13"/>
      <c r="J1203" s="13"/>
      <c r="K1203" s="13"/>
      <c r="L1203" s="13"/>
      <c r="M1203" s="13"/>
      <c r="N1203" s="13">
        <f>71000+7000</f>
        <v>78000</v>
      </c>
      <c r="O1203" s="13">
        <v>64000</v>
      </c>
      <c r="P1203" s="13">
        <v>81000</v>
      </c>
      <c r="Q1203" s="13">
        <v>300</v>
      </c>
      <c r="R1203" s="13"/>
      <c r="T1203" s="13">
        <f t="shared" si="337"/>
        <v>78000</v>
      </c>
    </row>
    <row r="1204" spans="2:20" x14ac:dyDescent="0.25">
      <c r="B1204" s="97">
        <f t="shared" si="340"/>
        <v>416</v>
      </c>
      <c r="C1204" s="12"/>
      <c r="D1204" s="12"/>
      <c r="E1204" s="12"/>
      <c r="F1204" s="12"/>
      <c r="G1204" s="127"/>
      <c r="H1204" s="91" t="s">
        <v>892</v>
      </c>
      <c r="I1204" s="13"/>
      <c r="J1204" s="13"/>
      <c r="K1204" s="13"/>
      <c r="L1204" s="13"/>
      <c r="M1204" s="13"/>
      <c r="N1204" s="13">
        <v>4000</v>
      </c>
      <c r="O1204" s="13"/>
      <c r="P1204" s="13"/>
      <c r="Q1204" s="13"/>
      <c r="R1204" s="13"/>
      <c r="T1204" s="13">
        <f t="shared" si="337"/>
        <v>4000</v>
      </c>
    </row>
    <row r="1205" spans="2:20" x14ac:dyDescent="0.25">
      <c r="B1205" s="97">
        <f t="shared" si="340"/>
        <v>417</v>
      </c>
      <c r="C1205" s="49"/>
      <c r="D1205" s="49"/>
      <c r="E1205" s="49">
        <v>10</v>
      </c>
      <c r="F1205" s="49"/>
      <c r="G1205" s="123"/>
      <c r="H1205" s="49" t="s">
        <v>188</v>
      </c>
      <c r="I1205" s="50">
        <f>I1206</f>
        <v>454118</v>
      </c>
      <c r="J1205" s="50">
        <f t="shared" ref="J1205:M1205" si="345">J1206</f>
        <v>397802</v>
      </c>
      <c r="K1205" s="50">
        <f t="shared" si="345"/>
        <v>401271</v>
      </c>
      <c r="L1205" s="50">
        <f t="shared" si="345"/>
        <v>403582</v>
      </c>
      <c r="M1205" s="50">
        <f t="shared" si="345"/>
        <v>407599</v>
      </c>
      <c r="N1205" s="50">
        <f>N1230</f>
        <v>99000</v>
      </c>
      <c r="O1205" s="50">
        <f t="shared" ref="O1205:R1205" si="346">O1230</f>
        <v>83000</v>
      </c>
      <c r="P1205" s="50">
        <f>P1230</f>
        <v>120660</v>
      </c>
      <c r="Q1205" s="50">
        <f t="shared" si="346"/>
        <v>0</v>
      </c>
      <c r="R1205" s="50">
        <f t="shared" si="346"/>
        <v>47960</v>
      </c>
      <c r="T1205" s="50">
        <f t="shared" si="337"/>
        <v>553118</v>
      </c>
    </row>
    <row r="1206" spans="2:20" ht="15" hidden="1" customHeight="1" x14ac:dyDescent="0.25">
      <c r="B1206" s="97">
        <f t="shared" si="340"/>
        <v>418</v>
      </c>
      <c r="C1206" s="51"/>
      <c r="D1206" s="51"/>
      <c r="E1206" s="51" t="s">
        <v>60</v>
      </c>
      <c r="F1206" s="51"/>
      <c r="G1206" s="124"/>
      <c r="H1206" s="51"/>
      <c r="I1206" s="52">
        <f>I1207+I1208+I1209+I1216+I1217+I1218+I1219+I1226+I1227+I1229</f>
        <v>454118</v>
      </c>
      <c r="J1206" s="52">
        <f>J1227+J1226+J1219+J1218+J1217+J1216+J1209+J1208+J1207</f>
        <v>397802</v>
      </c>
      <c r="K1206" s="52">
        <f>K1227+K1226+K1219+K1218+K1217+K1216+K1209+K1208+K1207+K1229</f>
        <v>401271</v>
      </c>
      <c r="L1206" s="52">
        <f>L1227+L1226+L1219+L1218+L1217+L1216+L1209+L1208+L1207+L1229</f>
        <v>403582</v>
      </c>
      <c r="M1206" s="52">
        <f>M1227+M1226+M1219+M1218+M1217+M1216+M1209+M1208+M1207+M1229</f>
        <v>407599</v>
      </c>
      <c r="N1206" s="52"/>
      <c r="O1206" s="52"/>
      <c r="P1206" s="52"/>
      <c r="Q1206" s="52"/>
      <c r="R1206" s="52"/>
      <c r="T1206" s="52">
        <f t="shared" si="337"/>
        <v>454118</v>
      </c>
    </row>
    <row r="1207" spans="2:20" x14ac:dyDescent="0.25">
      <c r="B1207" s="97">
        <f t="shared" si="340"/>
        <v>419</v>
      </c>
      <c r="C1207" s="29"/>
      <c r="D1207" s="29"/>
      <c r="E1207" s="29"/>
      <c r="F1207" s="53" t="s">
        <v>543</v>
      </c>
      <c r="G1207" s="125">
        <v>610</v>
      </c>
      <c r="H1207" s="29" t="s">
        <v>338</v>
      </c>
      <c r="I1207" s="15">
        <v>120405</v>
      </c>
      <c r="J1207" s="15">
        <v>96918</v>
      </c>
      <c r="K1207" s="15">
        <v>96918</v>
      </c>
      <c r="L1207" s="15">
        <v>94686</v>
      </c>
      <c r="M1207" s="15">
        <v>191304</v>
      </c>
      <c r="N1207" s="15"/>
      <c r="O1207" s="15"/>
      <c r="P1207" s="15"/>
      <c r="Q1207" s="15"/>
      <c r="R1207" s="15"/>
      <c r="T1207" s="15">
        <f t="shared" si="337"/>
        <v>120405</v>
      </c>
    </row>
    <row r="1208" spans="2:20" x14ac:dyDescent="0.25">
      <c r="B1208" s="97">
        <f t="shared" si="340"/>
        <v>420</v>
      </c>
      <c r="C1208" s="29"/>
      <c r="D1208" s="29"/>
      <c r="E1208" s="29"/>
      <c r="F1208" s="53" t="s">
        <v>543</v>
      </c>
      <c r="G1208" s="125">
        <v>620</v>
      </c>
      <c r="H1208" s="29" t="s">
        <v>313</v>
      </c>
      <c r="I1208" s="15">
        <v>42190</v>
      </c>
      <c r="J1208" s="15">
        <v>33873</v>
      </c>
      <c r="K1208" s="15">
        <v>33873</v>
      </c>
      <c r="L1208" s="15">
        <v>33457</v>
      </c>
      <c r="M1208" s="15">
        <v>67997</v>
      </c>
      <c r="N1208" s="15"/>
      <c r="O1208" s="15"/>
      <c r="P1208" s="15"/>
      <c r="Q1208" s="15"/>
      <c r="R1208" s="15"/>
      <c r="T1208" s="15">
        <f t="shared" si="337"/>
        <v>42190</v>
      </c>
    </row>
    <row r="1209" spans="2:20" x14ac:dyDescent="0.25">
      <c r="B1209" s="97">
        <f t="shared" si="340"/>
        <v>421</v>
      </c>
      <c r="C1209" s="29"/>
      <c r="D1209" s="29"/>
      <c r="E1209" s="29"/>
      <c r="F1209" s="53" t="s">
        <v>543</v>
      </c>
      <c r="G1209" s="125">
        <v>630</v>
      </c>
      <c r="H1209" s="29" t="s">
        <v>303</v>
      </c>
      <c r="I1209" s="15">
        <f>SUM(I1210:I1215)</f>
        <v>28320</v>
      </c>
      <c r="J1209" s="15">
        <f t="shared" ref="J1209:K1209" si="347">J1215+J1213+J1212+J1211+J1210</f>
        <v>19976</v>
      </c>
      <c r="K1209" s="15">
        <f t="shared" si="347"/>
        <v>19976</v>
      </c>
      <c r="L1209" s="15">
        <f>L1215+L1213+L1212+L1211+L1210+L1214</f>
        <v>20871</v>
      </c>
      <c r="M1209" s="15">
        <f>M1215+M1213+M1212+M1211+M1210+M1214</f>
        <v>90474</v>
      </c>
      <c r="N1209" s="15"/>
      <c r="O1209" s="15"/>
      <c r="P1209" s="15"/>
      <c r="Q1209" s="15"/>
      <c r="R1209" s="15"/>
      <c r="T1209" s="15">
        <f t="shared" si="337"/>
        <v>28320</v>
      </c>
    </row>
    <row r="1210" spans="2:20" x14ac:dyDescent="0.25">
      <c r="B1210" s="97">
        <f t="shared" si="340"/>
        <v>422</v>
      </c>
      <c r="C1210" s="9"/>
      <c r="D1210" s="9"/>
      <c r="E1210" s="9"/>
      <c r="F1210" s="54" t="s">
        <v>543</v>
      </c>
      <c r="G1210" s="126">
        <v>631</v>
      </c>
      <c r="H1210" s="9" t="s">
        <v>304</v>
      </c>
      <c r="I1210" s="10">
        <v>290</v>
      </c>
      <c r="J1210" s="10">
        <v>200</v>
      </c>
      <c r="K1210" s="10">
        <v>200</v>
      </c>
      <c r="L1210" s="10">
        <v>0</v>
      </c>
      <c r="M1210" s="10">
        <v>151</v>
      </c>
      <c r="N1210" s="10"/>
      <c r="O1210" s="10"/>
      <c r="P1210" s="10"/>
      <c r="Q1210" s="10"/>
      <c r="R1210" s="10"/>
      <c r="T1210" s="10">
        <f t="shared" si="337"/>
        <v>290</v>
      </c>
    </row>
    <row r="1211" spans="2:20" x14ac:dyDescent="0.25">
      <c r="B1211" s="97">
        <f t="shared" si="340"/>
        <v>423</v>
      </c>
      <c r="C1211" s="9"/>
      <c r="D1211" s="9"/>
      <c r="E1211" s="9"/>
      <c r="F1211" s="54" t="s">
        <v>543</v>
      </c>
      <c r="G1211" s="126">
        <v>632</v>
      </c>
      <c r="H1211" s="9" t="s">
        <v>314</v>
      </c>
      <c r="I1211" s="10">
        <v>11750</v>
      </c>
      <c r="J1211" s="10">
        <v>8860</v>
      </c>
      <c r="K1211" s="10">
        <f>8860-4000</f>
        <v>4860</v>
      </c>
      <c r="L1211" s="10">
        <v>3818</v>
      </c>
      <c r="M1211" s="10">
        <v>56517</v>
      </c>
      <c r="N1211" s="10"/>
      <c r="O1211" s="10"/>
      <c r="P1211" s="10"/>
      <c r="Q1211" s="10"/>
      <c r="R1211" s="10"/>
      <c r="T1211" s="10">
        <f t="shared" si="337"/>
        <v>11750</v>
      </c>
    </row>
    <row r="1212" spans="2:20" x14ac:dyDescent="0.25">
      <c r="B1212" s="97">
        <f t="shared" si="340"/>
        <v>424</v>
      </c>
      <c r="C1212" s="9"/>
      <c r="D1212" s="9"/>
      <c r="E1212" s="9"/>
      <c r="F1212" s="54" t="s">
        <v>543</v>
      </c>
      <c r="G1212" s="126">
        <v>633</v>
      </c>
      <c r="H1212" s="9" t="s">
        <v>305</v>
      </c>
      <c r="I1212" s="10">
        <v>5275</v>
      </c>
      <c r="J1212" s="10">
        <v>5080</v>
      </c>
      <c r="K1212" s="10">
        <f>5080+4000</f>
        <v>9080</v>
      </c>
      <c r="L1212" s="10">
        <v>7880</v>
      </c>
      <c r="M1212" s="10">
        <v>8982</v>
      </c>
      <c r="N1212" s="10"/>
      <c r="O1212" s="10"/>
      <c r="P1212" s="10"/>
      <c r="Q1212" s="10"/>
      <c r="R1212" s="10"/>
      <c r="T1212" s="10">
        <f t="shared" si="337"/>
        <v>5275</v>
      </c>
    </row>
    <row r="1213" spans="2:20" x14ac:dyDescent="0.25">
      <c r="B1213" s="97">
        <f t="shared" si="340"/>
        <v>425</v>
      </c>
      <c r="C1213" s="9"/>
      <c r="D1213" s="9"/>
      <c r="E1213" s="9"/>
      <c r="F1213" s="54" t="s">
        <v>543</v>
      </c>
      <c r="G1213" s="126">
        <v>635</v>
      </c>
      <c r="H1213" s="9" t="s">
        <v>320</v>
      </c>
      <c r="I1213" s="10">
        <v>1980</v>
      </c>
      <c r="J1213" s="10">
        <v>1890</v>
      </c>
      <c r="K1213" s="10">
        <v>1890</v>
      </c>
      <c r="L1213" s="10">
        <v>2277</v>
      </c>
      <c r="M1213" s="10">
        <v>13655</v>
      </c>
      <c r="N1213" s="10"/>
      <c r="O1213" s="10"/>
      <c r="P1213" s="10"/>
      <c r="Q1213" s="10"/>
      <c r="R1213" s="10"/>
      <c r="T1213" s="10">
        <f t="shared" si="337"/>
        <v>1980</v>
      </c>
    </row>
    <row r="1214" spans="2:20" x14ac:dyDescent="0.25">
      <c r="B1214" s="97">
        <f t="shared" si="340"/>
        <v>426</v>
      </c>
      <c r="C1214" s="9"/>
      <c r="D1214" s="9"/>
      <c r="E1214" s="9"/>
      <c r="F1214" s="54" t="s">
        <v>543</v>
      </c>
      <c r="G1214" s="126">
        <v>636</v>
      </c>
      <c r="H1214" s="9" t="s">
        <v>307</v>
      </c>
      <c r="I1214" s="10">
        <v>0</v>
      </c>
      <c r="J1214" s="10"/>
      <c r="K1214" s="10"/>
      <c r="L1214" s="10">
        <v>6</v>
      </c>
      <c r="M1214" s="10">
        <v>1436</v>
      </c>
      <c r="N1214" s="10"/>
      <c r="O1214" s="10"/>
      <c r="P1214" s="10"/>
      <c r="Q1214" s="10"/>
      <c r="R1214" s="10"/>
      <c r="T1214" s="10">
        <f t="shared" si="337"/>
        <v>0</v>
      </c>
    </row>
    <row r="1215" spans="2:20" x14ac:dyDescent="0.25">
      <c r="B1215" s="97">
        <f t="shared" si="340"/>
        <v>427</v>
      </c>
      <c r="C1215" s="9"/>
      <c r="D1215" s="9"/>
      <c r="E1215" s="9"/>
      <c r="F1215" s="54" t="s">
        <v>543</v>
      </c>
      <c r="G1215" s="126">
        <v>637</v>
      </c>
      <c r="H1215" s="9" t="s">
        <v>308</v>
      </c>
      <c r="I1215" s="10">
        <v>9025</v>
      </c>
      <c r="J1215" s="10">
        <v>3946</v>
      </c>
      <c r="K1215" s="10">
        <v>3946</v>
      </c>
      <c r="L1215" s="10">
        <v>6890</v>
      </c>
      <c r="M1215" s="10">
        <v>9733</v>
      </c>
      <c r="N1215" s="10"/>
      <c r="O1215" s="10"/>
      <c r="P1215" s="10"/>
      <c r="Q1215" s="10"/>
      <c r="R1215" s="10"/>
      <c r="T1215" s="10">
        <f t="shared" si="337"/>
        <v>9025</v>
      </c>
    </row>
    <row r="1216" spans="2:20" x14ac:dyDescent="0.25">
      <c r="B1216" s="97">
        <f t="shared" ref="B1216:B1279" si="348">B1215+1</f>
        <v>428</v>
      </c>
      <c r="C1216" s="29"/>
      <c r="D1216" s="29"/>
      <c r="E1216" s="29"/>
      <c r="F1216" s="53" t="s">
        <v>543</v>
      </c>
      <c r="G1216" s="125">
        <v>640</v>
      </c>
      <c r="H1216" s="29" t="s">
        <v>315</v>
      </c>
      <c r="I1216" s="15">
        <v>300</v>
      </c>
      <c r="J1216" s="15">
        <v>100</v>
      </c>
      <c r="K1216" s="15">
        <v>100</v>
      </c>
      <c r="L1216" s="15">
        <v>253</v>
      </c>
      <c r="M1216" s="15">
        <f>400+1425</f>
        <v>1825</v>
      </c>
      <c r="N1216" s="15"/>
      <c r="O1216" s="15"/>
      <c r="P1216" s="15"/>
      <c r="Q1216" s="15"/>
      <c r="R1216" s="15"/>
      <c r="T1216" s="15">
        <f t="shared" si="337"/>
        <v>300</v>
      </c>
    </row>
    <row r="1217" spans="2:20" x14ac:dyDescent="0.25">
      <c r="B1217" s="97">
        <f t="shared" si="348"/>
        <v>429</v>
      </c>
      <c r="C1217" s="29"/>
      <c r="D1217" s="29"/>
      <c r="E1217" s="29"/>
      <c r="F1217" s="53" t="s">
        <v>546</v>
      </c>
      <c r="G1217" s="125">
        <v>610</v>
      </c>
      <c r="H1217" s="29" t="s">
        <v>338</v>
      </c>
      <c r="I1217" s="15">
        <v>134205</v>
      </c>
      <c r="J1217" s="15">
        <v>124619</v>
      </c>
      <c r="K1217" s="15">
        <v>125620</v>
      </c>
      <c r="L1217" s="15">
        <v>124012</v>
      </c>
      <c r="M1217" s="15">
        <v>0</v>
      </c>
      <c r="N1217" s="15"/>
      <c r="O1217" s="15"/>
      <c r="P1217" s="15"/>
      <c r="Q1217" s="15"/>
      <c r="R1217" s="15"/>
      <c r="T1217" s="15">
        <f t="shared" si="337"/>
        <v>134205</v>
      </c>
    </row>
    <row r="1218" spans="2:20" x14ac:dyDescent="0.25">
      <c r="B1218" s="97">
        <f t="shared" si="348"/>
        <v>430</v>
      </c>
      <c r="C1218" s="29"/>
      <c r="D1218" s="29"/>
      <c r="E1218" s="29"/>
      <c r="F1218" s="53" t="s">
        <v>546</v>
      </c>
      <c r="G1218" s="125">
        <v>620</v>
      </c>
      <c r="H1218" s="29" t="s">
        <v>313</v>
      </c>
      <c r="I1218" s="15">
        <v>47020</v>
      </c>
      <c r="J1218" s="15">
        <v>43557</v>
      </c>
      <c r="K1218" s="15">
        <v>43907</v>
      </c>
      <c r="L1218" s="15">
        <v>43238</v>
      </c>
      <c r="M1218" s="15">
        <v>0</v>
      </c>
      <c r="N1218" s="15"/>
      <c r="O1218" s="15"/>
      <c r="P1218" s="15"/>
      <c r="Q1218" s="15"/>
      <c r="R1218" s="15"/>
      <c r="T1218" s="15">
        <f t="shared" si="337"/>
        <v>47020</v>
      </c>
    </row>
    <row r="1219" spans="2:20" x14ac:dyDescent="0.25">
      <c r="B1219" s="97">
        <f t="shared" si="348"/>
        <v>431</v>
      </c>
      <c r="C1219" s="29"/>
      <c r="D1219" s="29"/>
      <c r="E1219" s="29"/>
      <c r="F1219" s="53" t="s">
        <v>546</v>
      </c>
      <c r="G1219" s="125">
        <v>630</v>
      </c>
      <c r="H1219" s="29" t="s">
        <v>303</v>
      </c>
      <c r="I1219" s="15">
        <f>I1220+I1221+I1222+I1223+I1224+I1225</f>
        <v>81378</v>
      </c>
      <c r="J1219" s="15">
        <f>J1225+J1223+J1222+J1221+J1220+J1224</f>
        <v>78259</v>
      </c>
      <c r="K1219" s="15">
        <f>K1225+K1223+K1222+K1221+K1220+K1224</f>
        <v>72319</v>
      </c>
      <c r="L1219" s="15">
        <f>L1225+L1223+L1222+L1221+L1220+L1224</f>
        <v>85574</v>
      </c>
      <c r="M1219" s="15">
        <f t="shared" ref="M1219" si="349">M1225+M1223+M1222+M1221+M1220</f>
        <v>0</v>
      </c>
      <c r="N1219" s="15"/>
      <c r="O1219" s="15"/>
      <c r="P1219" s="15"/>
      <c r="Q1219" s="15"/>
      <c r="R1219" s="15"/>
      <c r="T1219" s="15">
        <f t="shared" si="337"/>
        <v>81378</v>
      </c>
    </row>
    <row r="1220" spans="2:20" x14ac:dyDescent="0.25">
      <c r="B1220" s="97">
        <f t="shared" si="348"/>
        <v>432</v>
      </c>
      <c r="C1220" s="9"/>
      <c r="D1220" s="9"/>
      <c r="E1220" s="9"/>
      <c r="F1220" s="54" t="s">
        <v>546</v>
      </c>
      <c r="G1220" s="126">
        <v>631</v>
      </c>
      <c r="H1220" s="9" t="s">
        <v>304</v>
      </c>
      <c r="I1220" s="10">
        <v>290</v>
      </c>
      <c r="J1220" s="10">
        <v>350</v>
      </c>
      <c r="K1220" s="10">
        <v>350</v>
      </c>
      <c r="L1220" s="10">
        <v>86</v>
      </c>
      <c r="M1220" s="10">
        <v>0</v>
      </c>
      <c r="N1220" s="10"/>
      <c r="O1220" s="10"/>
      <c r="P1220" s="10"/>
      <c r="Q1220" s="10"/>
      <c r="R1220" s="10"/>
      <c r="T1220" s="10">
        <f t="shared" si="337"/>
        <v>290</v>
      </c>
    </row>
    <row r="1221" spans="2:20" x14ac:dyDescent="0.25">
      <c r="B1221" s="97">
        <f t="shared" si="348"/>
        <v>433</v>
      </c>
      <c r="C1221" s="9"/>
      <c r="D1221" s="9"/>
      <c r="E1221" s="9"/>
      <c r="F1221" s="54" t="s">
        <v>546</v>
      </c>
      <c r="G1221" s="126">
        <v>632</v>
      </c>
      <c r="H1221" s="9" t="s">
        <v>314</v>
      </c>
      <c r="I1221" s="10">
        <v>54450</v>
      </c>
      <c r="J1221" s="10">
        <v>58485</v>
      </c>
      <c r="K1221" s="10">
        <f>58485-15190</f>
        <v>43295</v>
      </c>
      <c r="L1221" s="10">
        <v>49616</v>
      </c>
      <c r="M1221" s="10">
        <v>0</v>
      </c>
      <c r="N1221" s="10"/>
      <c r="O1221" s="10"/>
      <c r="P1221" s="10"/>
      <c r="Q1221" s="10"/>
      <c r="R1221" s="10"/>
      <c r="T1221" s="10">
        <f t="shared" si="337"/>
        <v>54450</v>
      </c>
    </row>
    <row r="1222" spans="2:20" x14ac:dyDescent="0.25">
      <c r="B1222" s="97">
        <f t="shared" si="348"/>
        <v>434</v>
      </c>
      <c r="C1222" s="9"/>
      <c r="D1222" s="9"/>
      <c r="E1222" s="9"/>
      <c r="F1222" s="54" t="s">
        <v>546</v>
      </c>
      <c r="G1222" s="126">
        <v>633</v>
      </c>
      <c r="H1222" s="9" t="s">
        <v>305</v>
      </c>
      <c r="I1222" s="10">
        <v>14083</v>
      </c>
      <c r="J1222" s="10">
        <v>9467</v>
      </c>
      <c r="K1222" s="10">
        <f>9467+4000</f>
        <v>13467</v>
      </c>
      <c r="L1222" s="10">
        <v>21693</v>
      </c>
      <c r="M1222" s="10">
        <v>0</v>
      </c>
      <c r="N1222" s="10"/>
      <c r="O1222" s="10"/>
      <c r="P1222" s="10"/>
      <c r="Q1222" s="10"/>
      <c r="R1222" s="10"/>
      <c r="T1222" s="10">
        <f t="shared" si="337"/>
        <v>14083</v>
      </c>
    </row>
    <row r="1223" spans="2:20" x14ac:dyDescent="0.25">
      <c r="B1223" s="97">
        <f t="shared" si="348"/>
        <v>435</v>
      </c>
      <c r="C1223" s="9"/>
      <c r="D1223" s="9"/>
      <c r="E1223" s="9"/>
      <c r="F1223" s="54" t="s">
        <v>546</v>
      </c>
      <c r="G1223" s="126">
        <v>635</v>
      </c>
      <c r="H1223" s="9" t="s">
        <v>320</v>
      </c>
      <c r="I1223" s="10">
        <v>1980</v>
      </c>
      <c r="J1223" s="10">
        <v>1850</v>
      </c>
      <c r="K1223" s="10">
        <v>1850</v>
      </c>
      <c r="L1223" s="10">
        <v>3153</v>
      </c>
      <c r="M1223" s="10">
        <v>0</v>
      </c>
      <c r="N1223" s="10"/>
      <c r="O1223" s="10"/>
      <c r="P1223" s="10"/>
      <c r="Q1223" s="10"/>
      <c r="R1223" s="10"/>
      <c r="T1223" s="10">
        <f t="shared" si="337"/>
        <v>1980</v>
      </c>
    </row>
    <row r="1224" spans="2:20" x14ac:dyDescent="0.25">
      <c r="B1224" s="97">
        <f t="shared" si="348"/>
        <v>436</v>
      </c>
      <c r="C1224" s="9"/>
      <c r="D1224" s="9"/>
      <c r="E1224" s="9"/>
      <c r="F1224" s="54" t="s">
        <v>546</v>
      </c>
      <c r="G1224" s="126">
        <v>636</v>
      </c>
      <c r="H1224" s="9" t="s">
        <v>307</v>
      </c>
      <c r="I1224" s="10">
        <v>0</v>
      </c>
      <c r="J1224" s="10">
        <v>1650</v>
      </c>
      <c r="K1224" s="10">
        <v>1650</v>
      </c>
      <c r="L1224" s="10">
        <v>1317</v>
      </c>
      <c r="M1224" s="10"/>
      <c r="N1224" s="10"/>
      <c r="O1224" s="10"/>
      <c r="P1224" s="10"/>
      <c r="Q1224" s="10"/>
      <c r="R1224" s="10"/>
      <c r="T1224" s="10">
        <f t="shared" si="337"/>
        <v>0</v>
      </c>
    </row>
    <row r="1225" spans="2:20" x14ac:dyDescent="0.25">
      <c r="B1225" s="97">
        <f t="shared" si="348"/>
        <v>437</v>
      </c>
      <c r="C1225" s="9"/>
      <c r="D1225" s="9"/>
      <c r="E1225" s="9"/>
      <c r="F1225" s="54" t="s">
        <v>546</v>
      </c>
      <c r="G1225" s="126">
        <v>637</v>
      </c>
      <c r="H1225" s="9" t="s">
        <v>308</v>
      </c>
      <c r="I1225" s="10">
        <v>10575</v>
      </c>
      <c r="J1225" s="10">
        <v>6457</v>
      </c>
      <c r="K1225" s="10">
        <v>11707</v>
      </c>
      <c r="L1225" s="10">
        <v>9709</v>
      </c>
      <c r="M1225" s="10">
        <v>0</v>
      </c>
      <c r="N1225" s="10"/>
      <c r="O1225" s="10"/>
      <c r="P1225" s="10"/>
      <c r="Q1225" s="10"/>
      <c r="R1225" s="10"/>
      <c r="T1225" s="10">
        <f t="shared" si="337"/>
        <v>10575</v>
      </c>
    </row>
    <row r="1226" spans="2:20" x14ac:dyDescent="0.25">
      <c r="B1226" s="97">
        <f t="shared" si="348"/>
        <v>438</v>
      </c>
      <c r="C1226" s="29"/>
      <c r="D1226" s="29"/>
      <c r="E1226" s="29"/>
      <c r="F1226" s="53" t="s">
        <v>546</v>
      </c>
      <c r="G1226" s="125">
        <v>640</v>
      </c>
      <c r="H1226" s="29" t="s">
        <v>315</v>
      </c>
      <c r="I1226" s="15">
        <v>300</v>
      </c>
      <c r="J1226" s="15">
        <v>500</v>
      </c>
      <c r="K1226" s="15">
        <v>500</v>
      </c>
      <c r="L1226" s="15">
        <v>214</v>
      </c>
      <c r="M1226" s="15">
        <v>0</v>
      </c>
      <c r="N1226" s="15"/>
      <c r="O1226" s="15"/>
      <c r="P1226" s="15"/>
      <c r="Q1226" s="15"/>
      <c r="R1226" s="15"/>
      <c r="T1226" s="15">
        <f t="shared" si="337"/>
        <v>300</v>
      </c>
    </row>
    <row r="1227" spans="2:20" x14ac:dyDescent="0.25">
      <c r="B1227" s="97">
        <f t="shared" si="348"/>
        <v>439</v>
      </c>
      <c r="C1227" s="29"/>
      <c r="D1227" s="29"/>
      <c r="E1227" s="29"/>
      <c r="F1227" s="53" t="s">
        <v>551</v>
      </c>
      <c r="G1227" s="125">
        <v>630</v>
      </c>
      <c r="H1227" s="29" t="s">
        <v>303</v>
      </c>
      <c r="I1227" s="15">
        <f>I1228</f>
        <v>0</v>
      </c>
      <c r="J1227" s="15">
        <f t="shared" ref="J1227:M1227" si="350">J1228</f>
        <v>0</v>
      </c>
      <c r="K1227" s="15">
        <f t="shared" si="350"/>
        <v>126</v>
      </c>
      <c r="L1227" s="15">
        <f t="shared" si="350"/>
        <v>866</v>
      </c>
      <c r="M1227" s="15">
        <f t="shared" si="350"/>
        <v>0</v>
      </c>
      <c r="N1227" s="15"/>
      <c r="O1227" s="15"/>
      <c r="P1227" s="15"/>
      <c r="Q1227" s="15"/>
      <c r="R1227" s="15"/>
      <c r="T1227" s="15">
        <f t="shared" si="337"/>
        <v>0</v>
      </c>
    </row>
    <row r="1228" spans="2:20" x14ac:dyDescent="0.25">
      <c r="B1228" s="97">
        <f t="shared" si="348"/>
        <v>440</v>
      </c>
      <c r="C1228" s="9"/>
      <c r="D1228" s="9"/>
      <c r="E1228" s="9"/>
      <c r="F1228" s="54" t="s">
        <v>551</v>
      </c>
      <c r="G1228" s="126">
        <v>633</v>
      </c>
      <c r="H1228" s="9" t="s">
        <v>305</v>
      </c>
      <c r="I1228" s="10">
        <v>0</v>
      </c>
      <c r="J1228" s="10">
        <v>0</v>
      </c>
      <c r="K1228" s="10">
        <v>126</v>
      </c>
      <c r="L1228" s="10">
        <v>866</v>
      </c>
      <c r="M1228" s="10">
        <v>0</v>
      </c>
      <c r="N1228" s="10"/>
      <c r="O1228" s="10"/>
      <c r="P1228" s="10"/>
      <c r="Q1228" s="10"/>
      <c r="R1228" s="10"/>
      <c r="T1228" s="10">
        <f t="shared" si="337"/>
        <v>0</v>
      </c>
    </row>
    <row r="1229" spans="2:20" x14ac:dyDescent="0.25">
      <c r="B1229" s="97">
        <f t="shared" si="348"/>
        <v>441</v>
      </c>
      <c r="C1229" s="9"/>
      <c r="D1229" s="9"/>
      <c r="E1229" s="9"/>
      <c r="F1229" s="54"/>
      <c r="G1229" s="125">
        <v>630</v>
      </c>
      <c r="H1229" s="29" t="s">
        <v>539</v>
      </c>
      <c r="I1229" s="10">
        <v>0</v>
      </c>
      <c r="J1229" s="10"/>
      <c r="K1229" s="8">
        <v>7932</v>
      </c>
      <c r="L1229" s="10">
        <v>411</v>
      </c>
      <c r="M1229" s="8">
        <f>9225+46774</f>
        <v>55999</v>
      </c>
      <c r="N1229" s="10"/>
      <c r="O1229" s="10"/>
      <c r="P1229" s="10"/>
      <c r="Q1229" s="10"/>
      <c r="R1229" s="10"/>
      <c r="T1229" s="10">
        <f t="shared" si="337"/>
        <v>0</v>
      </c>
    </row>
    <row r="1230" spans="2:20" x14ac:dyDescent="0.25">
      <c r="B1230" s="97">
        <f t="shared" si="348"/>
        <v>442</v>
      </c>
      <c r="C1230" s="9"/>
      <c r="D1230" s="9"/>
      <c r="E1230" s="9"/>
      <c r="F1230" s="53" t="s">
        <v>546</v>
      </c>
      <c r="G1230" s="125">
        <v>710</v>
      </c>
      <c r="H1230" s="29" t="s">
        <v>321</v>
      </c>
      <c r="I1230" s="15"/>
      <c r="J1230" s="15"/>
      <c r="K1230" s="15"/>
      <c r="L1230" s="15"/>
      <c r="M1230" s="15"/>
      <c r="N1230" s="15">
        <f>N1236+N1232</f>
        <v>99000</v>
      </c>
      <c r="O1230" s="15">
        <f t="shared" ref="O1230:R1230" si="351">O1236+O1232</f>
        <v>83000</v>
      </c>
      <c r="P1230" s="15">
        <f>P1236+P1232+P1231</f>
        <v>120660</v>
      </c>
      <c r="Q1230" s="15"/>
      <c r="R1230" s="15">
        <f t="shared" si="351"/>
        <v>47960</v>
      </c>
      <c r="T1230" s="15">
        <f t="shared" si="337"/>
        <v>99000</v>
      </c>
    </row>
    <row r="1231" spans="2:20" x14ac:dyDescent="0.25">
      <c r="B1231" s="97">
        <f t="shared" si="348"/>
        <v>443</v>
      </c>
      <c r="C1231" s="9"/>
      <c r="D1231" s="9"/>
      <c r="E1231" s="9"/>
      <c r="F1231" s="55" t="s">
        <v>546</v>
      </c>
      <c r="G1231" s="128">
        <v>713</v>
      </c>
      <c r="H1231" s="56" t="s">
        <v>848</v>
      </c>
      <c r="I1231" s="15"/>
      <c r="J1231" s="15"/>
      <c r="K1231" s="15"/>
      <c r="L1231" s="15"/>
      <c r="M1231" s="15"/>
      <c r="N1231" s="15"/>
      <c r="O1231" s="15"/>
      <c r="P1231" s="16">
        <v>9990</v>
      </c>
      <c r="Q1231" s="15"/>
      <c r="R1231" s="15"/>
      <c r="T1231" s="15">
        <f t="shared" si="337"/>
        <v>0</v>
      </c>
    </row>
    <row r="1232" spans="2:20" x14ac:dyDescent="0.25">
      <c r="B1232" s="97">
        <f t="shared" si="348"/>
        <v>444</v>
      </c>
      <c r="C1232" s="9"/>
      <c r="D1232" s="9"/>
      <c r="E1232" s="9"/>
      <c r="F1232" s="55" t="s">
        <v>546</v>
      </c>
      <c r="G1232" s="126">
        <v>716</v>
      </c>
      <c r="H1232" s="9" t="s">
        <v>323</v>
      </c>
      <c r="I1232" s="15"/>
      <c r="J1232" s="15"/>
      <c r="K1232" s="15"/>
      <c r="L1232" s="15"/>
      <c r="M1232" s="15"/>
      <c r="N1232" s="15">
        <f>SUM(N1233:N1235)</f>
        <v>6000</v>
      </c>
      <c r="O1232" s="15"/>
      <c r="P1232" s="15">
        <f t="shared" ref="P1232" si="352">SUM(P1233:P1235)</f>
        <v>7600</v>
      </c>
      <c r="Q1232" s="15"/>
      <c r="R1232" s="15"/>
      <c r="T1232" s="15">
        <f t="shared" si="337"/>
        <v>6000</v>
      </c>
    </row>
    <row r="1233" spans="2:20" x14ac:dyDescent="0.25">
      <c r="B1233" s="97">
        <f t="shared" si="348"/>
        <v>445</v>
      </c>
      <c r="C1233" s="9"/>
      <c r="D1233" s="9"/>
      <c r="E1233" s="9"/>
      <c r="F1233" s="53"/>
      <c r="G1233" s="127"/>
      <c r="H1233" s="12" t="s">
        <v>873</v>
      </c>
      <c r="I1233" s="15"/>
      <c r="J1233" s="15"/>
      <c r="K1233" s="15"/>
      <c r="L1233" s="15"/>
      <c r="M1233" s="15"/>
      <c r="N1233" s="157">
        <v>6000</v>
      </c>
      <c r="O1233" s="15"/>
      <c r="P1233" s="16"/>
      <c r="Q1233" s="15"/>
      <c r="R1233" s="15"/>
      <c r="T1233" s="15">
        <f t="shared" si="337"/>
        <v>6000</v>
      </c>
    </row>
    <row r="1234" spans="2:20" x14ac:dyDescent="0.25">
      <c r="B1234" s="97">
        <f t="shared" si="348"/>
        <v>446</v>
      </c>
      <c r="C1234" s="12"/>
      <c r="D1234" s="12"/>
      <c r="E1234" s="12"/>
      <c r="F1234" s="12"/>
      <c r="G1234" s="127"/>
      <c r="H1234" s="12" t="s">
        <v>878</v>
      </c>
      <c r="I1234" s="13"/>
      <c r="J1234" s="13"/>
      <c r="K1234" s="13"/>
      <c r="L1234" s="13"/>
      <c r="M1234" s="13"/>
      <c r="N1234" s="13"/>
      <c r="O1234" s="13"/>
      <c r="P1234" s="13">
        <v>6600</v>
      </c>
      <c r="Q1234" s="13"/>
      <c r="R1234" s="13"/>
      <c r="T1234" s="13">
        <f t="shared" si="337"/>
        <v>0</v>
      </c>
    </row>
    <row r="1235" spans="2:20" x14ac:dyDescent="0.25">
      <c r="B1235" s="97">
        <f t="shared" si="348"/>
        <v>447</v>
      </c>
      <c r="C1235" s="12"/>
      <c r="D1235" s="12"/>
      <c r="E1235" s="12"/>
      <c r="F1235" s="12"/>
      <c r="G1235" s="127"/>
      <c r="H1235" s="12" t="s">
        <v>877</v>
      </c>
      <c r="I1235" s="13"/>
      <c r="J1235" s="13"/>
      <c r="K1235" s="13"/>
      <c r="L1235" s="13"/>
      <c r="M1235" s="13"/>
      <c r="N1235" s="13"/>
      <c r="O1235" s="13"/>
      <c r="P1235" s="13">
        <v>1000</v>
      </c>
      <c r="Q1235" s="13"/>
      <c r="R1235" s="13"/>
      <c r="T1235" s="13">
        <f t="shared" si="337"/>
        <v>0</v>
      </c>
    </row>
    <row r="1236" spans="2:20" x14ac:dyDescent="0.25">
      <c r="B1236" s="97">
        <f t="shared" si="348"/>
        <v>448</v>
      </c>
      <c r="C1236" s="9"/>
      <c r="D1236" s="9"/>
      <c r="E1236" s="9"/>
      <c r="F1236" s="54" t="s">
        <v>546</v>
      </c>
      <c r="G1236" s="126">
        <v>717</v>
      </c>
      <c r="H1236" s="9" t="s">
        <v>327</v>
      </c>
      <c r="I1236" s="10"/>
      <c r="J1236" s="10"/>
      <c r="K1236" s="10"/>
      <c r="L1236" s="10"/>
      <c r="M1236" s="10"/>
      <c r="N1236" s="10">
        <f>SUM(N1237:N1242)</f>
        <v>93000</v>
      </c>
      <c r="O1236" s="10">
        <f t="shared" ref="O1236:R1236" si="353">SUM(O1237:O1242)</f>
        <v>83000</v>
      </c>
      <c r="P1236" s="10">
        <f t="shared" si="353"/>
        <v>103070</v>
      </c>
      <c r="Q1236" s="10"/>
      <c r="R1236" s="10">
        <f t="shared" si="353"/>
        <v>47960</v>
      </c>
      <c r="T1236" s="10">
        <f t="shared" si="337"/>
        <v>93000</v>
      </c>
    </row>
    <row r="1237" spans="2:20" x14ac:dyDescent="0.25">
      <c r="B1237" s="97">
        <f t="shared" si="348"/>
        <v>449</v>
      </c>
      <c r="C1237" s="9"/>
      <c r="D1237" s="9"/>
      <c r="E1237" s="9"/>
      <c r="F1237" s="54"/>
      <c r="G1237" s="125"/>
      <c r="H1237" s="146" t="s">
        <v>863</v>
      </c>
      <c r="I1237" s="10"/>
      <c r="J1237" s="10"/>
      <c r="K1237" s="8"/>
      <c r="L1237" s="10"/>
      <c r="M1237" s="8"/>
      <c r="N1237" s="13">
        <f>45000+15000</f>
        <v>60000</v>
      </c>
      <c r="O1237" s="10"/>
      <c r="P1237" s="10"/>
      <c r="Q1237" s="10"/>
      <c r="R1237" s="10"/>
      <c r="T1237" s="10">
        <f t="shared" si="337"/>
        <v>60000</v>
      </c>
    </row>
    <row r="1238" spans="2:20" x14ac:dyDescent="0.25">
      <c r="B1238" s="97">
        <f t="shared" si="348"/>
        <v>450</v>
      </c>
      <c r="C1238" s="9"/>
      <c r="D1238" s="9"/>
      <c r="E1238" s="9"/>
      <c r="F1238" s="54"/>
      <c r="G1238" s="125"/>
      <c r="H1238" s="146" t="s">
        <v>868</v>
      </c>
      <c r="I1238" s="10"/>
      <c r="J1238" s="10"/>
      <c r="K1238" s="8"/>
      <c r="L1238" s="10"/>
      <c r="M1238" s="8"/>
      <c r="N1238" s="13">
        <v>33000</v>
      </c>
      <c r="O1238" s="10"/>
      <c r="P1238" s="10"/>
      <c r="Q1238" s="10"/>
      <c r="R1238" s="10"/>
      <c r="T1238" s="10">
        <f t="shared" si="337"/>
        <v>33000</v>
      </c>
    </row>
    <row r="1239" spans="2:20" x14ac:dyDescent="0.25">
      <c r="B1239" s="97">
        <f t="shared" si="348"/>
        <v>451</v>
      </c>
      <c r="C1239" s="12"/>
      <c r="D1239" s="12"/>
      <c r="E1239" s="12"/>
      <c r="F1239" s="12"/>
      <c r="G1239" s="127"/>
      <c r="H1239" s="12" t="s">
        <v>874</v>
      </c>
      <c r="I1239" s="13"/>
      <c r="J1239" s="13"/>
      <c r="K1239" s="13"/>
      <c r="L1239" s="13"/>
      <c r="M1239" s="13"/>
      <c r="N1239" s="13"/>
      <c r="O1239" s="13"/>
      <c r="P1239" s="13"/>
      <c r="Q1239" s="13"/>
      <c r="R1239" s="13">
        <v>44960</v>
      </c>
      <c r="T1239" s="13">
        <f t="shared" si="337"/>
        <v>0</v>
      </c>
    </row>
    <row r="1240" spans="2:20" x14ac:dyDescent="0.25">
      <c r="B1240" s="97">
        <f t="shared" si="348"/>
        <v>452</v>
      </c>
      <c r="C1240" s="12"/>
      <c r="D1240" s="12"/>
      <c r="E1240" s="12"/>
      <c r="F1240" s="12"/>
      <c r="G1240" s="127"/>
      <c r="H1240" s="12" t="s">
        <v>875</v>
      </c>
      <c r="I1240" s="13"/>
      <c r="J1240" s="13"/>
      <c r="K1240" s="13"/>
      <c r="L1240" s="13"/>
      <c r="M1240" s="13"/>
      <c r="N1240" s="13"/>
      <c r="O1240" s="13"/>
      <c r="P1240" s="13"/>
      <c r="Q1240" s="13"/>
      <c r="R1240" s="13">
        <v>3000</v>
      </c>
      <c r="T1240" s="13">
        <f t="shared" ref="T1240:T1303" si="354">I1240+N1240</f>
        <v>0</v>
      </c>
    </row>
    <row r="1241" spans="2:20" x14ac:dyDescent="0.25">
      <c r="B1241" s="97">
        <f t="shared" si="348"/>
        <v>453</v>
      </c>
      <c r="C1241" s="12"/>
      <c r="D1241" s="12"/>
      <c r="E1241" s="12"/>
      <c r="F1241" s="12"/>
      <c r="G1241" s="127"/>
      <c r="H1241" s="12" t="s">
        <v>876</v>
      </c>
      <c r="I1241" s="13"/>
      <c r="J1241" s="13"/>
      <c r="K1241" s="13"/>
      <c r="L1241" s="13"/>
      <c r="M1241" s="13"/>
      <c r="N1241" s="13"/>
      <c r="O1241" s="13">
        <v>70000</v>
      </c>
      <c r="P1241" s="13">
        <v>63400</v>
      </c>
      <c r="Q1241" s="13"/>
      <c r="R1241" s="13"/>
      <c r="T1241" s="13">
        <f t="shared" si="354"/>
        <v>0</v>
      </c>
    </row>
    <row r="1242" spans="2:20" x14ac:dyDescent="0.25">
      <c r="B1242" s="97">
        <f t="shared" si="348"/>
        <v>454</v>
      </c>
      <c r="C1242" s="12"/>
      <c r="D1242" s="12"/>
      <c r="E1242" s="12"/>
      <c r="F1242" s="12"/>
      <c r="G1242" s="127"/>
      <c r="H1242" s="12" t="s">
        <v>877</v>
      </c>
      <c r="I1242" s="13"/>
      <c r="J1242" s="13"/>
      <c r="K1242" s="13"/>
      <c r="L1242" s="13"/>
      <c r="M1242" s="13"/>
      <c r="N1242" s="13"/>
      <c r="O1242" s="13">
        <v>13000</v>
      </c>
      <c r="P1242" s="13">
        <v>39670</v>
      </c>
      <c r="Q1242" s="13"/>
      <c r="R1242" s="13"/>
      <c r="T1242" s="13">
        <f t="shared" si="354"/>
        <v>0</v>
      </c>
    </row>
    <row r="1243" spans="2:20" x14ac:dyDescent="0.25">
      <c r="B1243" s="97">
        <f t="shared" si="348"/>
        <v>455</v>
      </c>
      <c r="C1243" s="49"/>
      <c r="D1243" s="49"/>
      <c r="E1243" s="49">
        <v>11</v>
      </c>
      <c r="F1243" s="49"/>
      <c r="G1243" s="123"/>
      <c r="H1243" s="49" t="s">
        <v>189</v>
      </c>
      <c r="I1243" s="50">
        <f>I1244</f>
        <v>1265196</v>
      </c>
      <c r="J1243" s="50">
        <f t="shared" ref="J1243:M1243" si="355">J1244</f>
        <v>1175951</v>
      </c>
      <c r="K1243" s="50">
        <f t="shared" si="355"/>
        <v>1203129</v>
      </c>
      <c r="L1243" s="50">
        <f t="shared" si="355"/>
        <v>1120394.1300000001</v>
      </c>
      <c r="M1243" s="50">
        <f t="shared" si="355"/>
        <v>1152440</v>
      </c>
      <c r="N1243" s="50">
        <f>N1270</f>
        <v>33000</v>
      </c>
      <c r="O1243" s="50">
        <f t="shared" ref="O1243:R1243" si="356">O1270</f>
        <v>0</v>
      </c>
      <c r="P1243" s="50">
        <f t="shared" si="356"/>
        <v>84000</v>
      </c>
      <c r="Q1243" s="50">
        <f t="shared" si="356"/>
        <v>0</v>
      </c>
      <c r="R1243" s="50">
        <f t="shared" si="356"/>
        <v>0</v>
      </c>
      <c r="T1243" s="50">
        <f t="shared" si="354"/>
        <v>1298196</v>
      </c>
    </row>
    <row r="1244" spans="2:20" ht="13.5" hidden="1" customHeight="1" x14ac:dyDescent="0.25">
      <c r="B1244" s="97">
        <f t="shared" si="348"/>
        <v>456</v>
      </c>
      <c r="C1244" s="51"/>
      <c r="D1244" s="51"/>
      <c r="E1244" s="51" t="s">
        <v>60</v>
      </c>
      <c r="F1244" s="51"/>
      <c r="G1244" s="124"/>
      <c r="H1244" s="51"/>
      <c r="I1244" s="52">
        <f>I1245+I1246+I1247+I1254+I1255+I1256+I1257+I1265+I1266+I1268+I1269+I1270</f>
        <v>1265196</v>
      </c>
      <c r="J1244" s="52">
        <f>J1270+J1268+J1266+J1265+J1257+J1256+J1255+J1254+J1247+J1246+J1245</f>
        <v>1175951</v>
      </c>
      <c r="K1244" s="52">
        <f>K1270+K1268+K1266+K1265+K1257+K1256+K1255+K1254+K1247+K1246+K1245+K1269</f>
        <v>1203129</v>
      </c>
      <c r="L1244" s="52">
        <f>L1270+L1268+L1266+L1265+L1257+L1256+L1255+L1254+L1247+L1246+L1245+L1269</f>
        <v>1120394.1300000001</v>
      </c>
      <c r="M1244" s="52">
        <f>M1270+M1268+M1266+M1265+M1257+M1256+M1255+M1254+M1247+M1246+M1245+M1269</f>
        <v>1152440</v>
      </c>
      <c r="N1244" s="52"/>
      <c r="O1244" s="52">
        <f>O1270+O1268+O1266+O1265+O1257+O1256+O1255+O1254+O1247+O1246+O1245</f>
        <v>0</v>
      </c>
      <c r="P1244" s="52">
        <f>P1270+P1268+P1266+P1265+P1257+P1256+P1255+P1254+P1247+P1246+P1245</f>
        <v>84000</v>
      </c>
      <c r="Q1244" s="52">
        <f>Q1270+Q1268+Q1266+Q1265+Q1257+Q1256+Q1255+Q1254+Q1247+Q1246+Q1245</f>
        <v>0</v>
      </c>
      <c r="R1244" s="52">
        <f>R1270+R1268+R1266+R1265+R1257+R1256+R1255+R1254+R1247+R1246+R1245</f>
        <v>0</v>
      </c>
      <c r="T1244" s="52">
        <f t="shared" si="354"/>
        <v>1265196</v>
      </c>
    </row>
    <row r="1245" spans="2:20" x14ac:dyDescent="0.25">
      <c r="B1245" s="97">
        <f t="shared" si="348"/>
        <v>457</v>
      </c>
      <c r="C1245" s="29"/>
      <c r="D1245" s="29"/>
      <c r="E1245" s="29"/>
      <c r="F1245" s="53" t="s">
        <v>543</v>
      </c>
      <c r="G1245" s="125">
        <v>610</v>
      </c>
      <c r="H1245" s="29" t="s">
        <v>338</v>
      </c>
      <c r="I1245" s="15">
        <v>273702</v>
      </c>
      <c r="J1245" s="15">
        <v>258332</v>
      </c>
      <c r="K1245" s="15">
        <v>258332</v>
      </c>
      <c r="L1245" s="15">
        <v>263969</v>
      </c>
      <c r="M1245" s="15">
        <f>636638+600</f>
        <v>637238</v>
      </c>
      <c r="N1245" s="15"/>
      <c r="O1245" s="15"/>
      <c r="P1245" s="15"/>
      <c r="Q1245" s="15"/>
      <c r="R1245" s="15"/>
      <c r="T1245" s="15">
        <f t="shared" si="354"/>
        <v>273702</v>
      </c>
    </row>
    <row r="1246" spans="2:20" x14ac:dyDescent="0.25">
      <c r="B1246" s="97">
        <f t="shared" si="348"/>
        <v>458</v>
      </c>
      <c r="C1246" s="29"/>
      <c r="D1246" s="29"/>
      <c r="E1246" s="29"/>
      <c r="F1246" s="53" t="s">
        <v>543</v>
      </c>
      <c r="G1246" s="125">
        <v>620</v>
      </c>
      <c r="H1246" s="29" t="s">
        <v>313</v>
      </c>
      <c r="I1246" s="15">
        <v>95786</v>
      </c>
      <c r="J1246" s="15">
        <v>90407</v>
      </c>
      <c r="K1246" s="15">
        <v>90407</v>
      </c>
      <c r="L1246" s="15">
        <v>88701</v>
      </c>
      <c r="M1246" s="15">
        <v>218919</v>
      </c>
      <c r="N1246" s="15"/>
      <c r="O1246" s="15"/>
      <c r="P1246" s="15"/>
      <c r="Q1246" s="15"/>
      <c r="R1246" s="15"/>
      <c r="T1246" s="15">
        <f t="shared" si="354"/>
        <v>95786</v>
      </c>
    </row>
    <row r="1247" spans="2:20" x14ac:dyDescent="0.25">
      <c r="B1247" s="97">
        <f t="shared" si="348"/>
        <v>459</v>
      </c>
      <c r="C1247" s="29"/>
      <c r="D1247" s="29"/>
      <c r="E1247" s="29"/>
      <c r="F1247" s="53" t="s">
        <v>543</v>
      </c>
      <c r="G1247" s="125">
        <v>630</v>
      </c>
      <c r="H1247" s="29" t="s">
        <v>303</v>
      </c>
      <c r="I1247" s="15">
        <f>I1248+I1249+I1250+I1251+I1252+I1253</f>
        <v>84259</v>
      </c>
      <c r="J1247" s="15">
        <f t="shared" ref="J1247:M1247" si="357">J1253+J1252+J1251+J1250+J1249+J1248</f>
        <v>71110</v>
      </c>
      <c r="K1247" s="15">
        <f t="shared" si="357"/>
        <v>71110</v>
      </c>
      <c r="L1247" s="15">
        <f t="shared" si="357"/>
        <v>43813</v>
      </c>
      <c r="M1247" s="15">
        <f t="shared" si="357"/>
        <v>192000</v>
      </c>
      <c r="N1247" s="15"/>
      <c r="O1247" s="15"/>
      <c r="P1247" s="15"/>
      <c r="Q1247" s="15"/>
      <c r="R1247" s="15"/>
      <c r="T1247" s="15">
        <f t="shared" si="354"/>
        <v>84259</v>
      </c>
    </row>
    <row r="1248" spans="2:20" x14ac:dyDescent="0.25">
      <c r="B1248" s="97">
        <f t="shared" si="348"/>
        <v>460</v>
      </c>
      <c r="C1248" s="9"/>
      <c r="D1248" s="9"/>
      <c r="E1248" s="9"/>
      <c r="F1248" s="54" t="s">
        <v>543</v>
      </c>
      <c r="G1248" s="126">
        <v>631</v>
      </c>
      <c r="H1248" s="9" t="s">
        <v>304</v>
      </c>
      <c r="I1248" s="10">
        <v>17</v>
      </c>
      <c r="J1248" s="10">
        <v>16</v>
      </c>
      <c r="K1248" s="10">
        <v>16</v>
      </c>
      <c r="L1248" s="10">
        <v>13</v>
      </c>
      <c r="M1248" s="10">
        <v>184</v>
      </c>
      <c r="N1248" s="10"/>
      <c r="O1248" s="10"/>
      <c r="P1248" s="10"/>
      <c r="Q1248" s="10"/>
      <c r="R1248" s="10"/>
      <c r="T1248" s="10">
        <f t="shared" si="354"/>
        <v>17</v>
      </c>
    </row>
    <row r="1249" spans="2:20" x14ac:dyDescent="0.25">
      <c r="B1249" s="97">
        <f t="shared" si="348"/>
        <v>461</v>
      </c>
      <c r="C1249" s="9"/>
      <c r="D1249" s="9"/>
      <c r="E1249" s="9"/>
      <c r="F1249" s="54" t="s">
        <v>543</v>
      </c>
      <c r="G1249" s="126">
        <v>632</v>
      </c>
      <c r="H1249" s="9" t="s">
        <v>314</v>
      </c>
      <c r="I1249" s="10">
        <v>41459</v>
      </c>
      <c r="J1249" s="10">
        <v>44888</v>
      </c>
      <c r="K1249" s="10">
        <v>44888</v>
      </c>
      <c r="L1249" s="10">
        <v>12415</v>
      </c>
      <c r="M1249" s="10">
        <v>99672</v>
      </c>
      <c r="N1249" s="10"/>
      <c r="O1249" s="10"/>
      <c r="P1249" s="10"/>
      <c r="Q1249" s="10"/>
      <c r="R1249" s="10"/>
      <c r="T1249" s="10">
        <f t="shared" si="354"/>
        <v>41459</v>
      </c>
    </row>
    <row r="1250" spans="2:20" x14ac:dyDescent="0.25">
      <c r="B1250" s="97">
        <f t="shared" si="348"/>
        <v>462</v>
      </c>
      <c r="C1250" s="9"/>
      <c r="D1250" s="9"/>
      <c r="E1250" s="9"/>
      <c r="F1250" s="54" t="s">
        <v>543</v>
      </c>
      <c r="G1250" s="126">
        <v>633</v>
      </c>
      <c r="H1250" s="9" t="s">
        <v>305</v>
      </c>
      <c r="I1250" s="10">
        <v>15600</v>
      </c>
      <c r="J1250" s="10">
        <v>11589</v>
      </c>
      <c r="K1250" s="10">
        <v>11589</v>
      </c>
      <c r="L1250" s="10">
        <v>15226</v>
      </c>
      <c r="M1250" s="10">
        <v>44707</v>
      </c>
      <c r="N1250" s="10"/>
      <c r="O1250" s="10"/>
      <c r="P1250" s="10"/>
      <c r="Q1250" s="10"/>
      <c r="R1250" s="10"/>
      <c r="T1250" s="10">
        <f t="shared" si="354"/>
        <v>15600</v>
      </c>
    </row>
    <row r="1251" spans="2:20" x14ac:dyDescent="0.25">
      <c r="B1251" s="97">
        <f t="shared" si="348"/>
        <v>463</v>
      </c>
      <c r="C1251" s="9"/>
      <c r="D1251" s="9"/>
      <c r="E1251" s="9"/>
      <c r="F1251" s="54" t="s">
        <v>543</v>
      </c>
      <c r="G1251" s="126">
        <v>634</v>
      </c>
      <c r="H1251" s="9" t="s">
        <v>306</v>
      </c>
      <c r="I1251" s="10">
        <v>11</v>
      </c>
      <c r="J1251" s="10">
        <v>10</v>
      </c>
      <c r="K1251" s="10">
        <v>10</v>
      </c>
      <c r="L1251" s="10">
        <v>10</v>
      </c>
      <c r="M1251" s="10">
        <v>26</v>
      </c>
      <c r="N1251" s="10"/>
      <c r="O1251" s="10"/>
      <c r="P1251" s="10"/>
      <c r="Q1251" s="10"/>
      <c r="R1251" s="10"/>
      <c r="T1251" s="10">
        <f t="shared" si="354"/>
        <v>11</v>
      </c>
    </row>
    <row r="1252" spans="2:20" x14ac:dyDescent="0.25">
      <c r="B1252" s="97">
        <f t="shared" si="348"/>
        <v>464</v>
      </c>
      <c r="C1252" s="9"/>
      <c r="D1252" s="9"/>
      <c r="E1252" s="9"/>
      <c r="F1252" s="54" t="s">
        <v>543</v>
      </c>
      <c r="G1252" s="126">
        <v>635</v>
      </c>
      <c r="H1252" s="9" t="s">
        <v>320</v>
      </c>
      <c r="I1252" s="10">
        <v>4207</v>
      </c>
      <c r="J1252" s="10">
        <v>5953</v>
      </c>
      <c r="K1252" s="10">
        <v>5953</v>
      </c>
      <c r="L1252" s="10">
        <v>4366</v>
      </c>
      <c r="M1252" s="10">
        <v>15489</v>
      </c>
      <c r="N1252" s="10"/>
      <c r="O1252" s="10"/>
      <c r="P1252" s="10"/>
      <c r="Q1252" s="10"/>
      <c r="R1252" s="10"/>
      <c r="T1252" s="10">
        <f t="shared" si="354"/>
        <v>4207</v>
      </c>
    </row>
    <row r="1253" spans="2:20" x14ac:dyDescent="0.25">
      <c r="B1253" s="97">
        <f t="shared" si="348"/>
        <v>465</v>
      </c>
      <c r="C1253" s="9"/>
      <c r="D1253" s="9"/>
      <c r="E1253" s="9"/>
      <c r="F1253" s="54" t="s">
        <v>543</v>
      </c>
      <c r="G1253" s="126">
        <v>637</v>
      </c>
      <c r="H1253" s="9" t="s">
        <v>308</v>
      </c>
      <c r="I1253" s="10">
        <v>22965</v>
      </c>
      <c r="J1253" s="10">
        <v>8654</v>
      </c>
      <c r="K1253" s="10">
        <v>8654</v>
      </c>
      <c r="L1253" s="10">
        <v>11783</v>
      </c>
      <c r="M1253" s="10">
        <v>31922</v>
      </c>
      <c r="N1253" s="10"/>
      <c r="O1253" s="10"/>
      <c r="P1253" s="10"/>
      <c r="Q1253" s="10"/>
      <c r="R1253" s="10"/>
      <c r="T1253" s="10">
        <f t="shared" si="354"/>
        <v>22965</v>
      </c>
    </row>
    <row r="1254" spans="2:20" x14ac:dyDescent="0.25">
      <c r="B1254" s="97">
        <f t="shared" si="348"/>
        <v>466</v>
      </c>
      <c r="C1254" s="29"/>
      <c r="D1254" s="29"/>
      <c r="E1254" s="29"/>
      <c r="F1254" s="53" t="s">
        <v>543</v>
      </c>
      <c r="G1254" s="125">
        <v>640</v>
      </c>
      <c r="H1254" s="29" t="s">
        <v>315</v>
      </c>
      <c r="I1254" s="15">
        <v>3881</v>
      </c>
      <c r="J1254" s="15">
        <v>3682</v>
      </c>
      <c r="K1254" s="15">
        <v>3682</v>
      </c>
      <c r="L1254" s="15">
        <v>2614.8000000000002</v>
      </c>
      <c r="M1254" s="15">
        <f>10151+2316</f>
        <v>12467</v>
      </c>
      <c r="N1254" s="15"/>
      <c r="O1254" s="15"/>
      <c r="P1254" s="15"/>
      <c r="Q1254" s="15"/>
      <c r="R1254" s="15"/>
      <c r="T1254" s="15">
        <f t="shared" si="354"/>
        <v>3881</v>
      </c>
    </row>
    <row r="1255" spans="2:20" x14ac:dyDescent="0.25">
      <c r="B1255" s="97">
        <f t="shared" si="348"/>
        <v>467</v>
      </c>
      <c r="C1255" s="29"/>
      <c r="D1255" s="29"/>
      <c r="E1255" s="29"/>
      <c r="F1255" s="53" t="s">
        <v>546</v>
      </c>
      <c r="G1255" s="125">
        <v>610</v>
      </c>
      <c r="H1255" s="29" t="s">
        <v>338</v>
      </c>
      <c r="I1255" s="15">
        <v>434398</v>
      </c>
      <c r="J1255" s="15">
        <v>409993</v>
      </c>
      <c r="K1255" s="15">
        <v>409993</v>
      </c>
      <c r="L1255" s="15">
        <v>393197</v>
      </c>
      <c r="M1255" s="15">
        <v>0</v>
      </c>
      <c r="N1255" s="15"/>
      <c r="O1255" s="15"/>
      <c r="P1255" s="15"/>
      <c r="Q1255" s="15"/>
      <c r="R1255" s="15"/>
      <c r="T1255" s="15">
        <f t="shared" si="354"/>
        <v>434398</v>
      </c>
    </row>
    <row r="1256" spans="2:20" x14ac:dyDescent="0.25">
      <c r="B1256" s="97">
        <f t="shared" si="348"/>
        <v>468</v>
      </c>
      <c r="C1256" s="29"/>
      <c r="D1256" s="29"/>
      <c r="E1256" s="29"/>
      <c r="F1256" s="53" t="s">
        <v>546</v>
      </c>
      <c r="G1256" s="125">
        <v>620</v>
      </c>
      <c r="H1256" s="29" t="s">
        <v>313</v>
      </c>
      <c r="I1256" s="15">
        <v>152011</v>
      </c>
      <c r="J1256" s="15">
        <v>143470</v>
      </c>
      <c r="K1256" s="15">
        <v>143470</v>
      </c>
      <c r="L1256" s="15">
        <v>140620</v>
      </c>
      <c r="M1256" s="15">
        <v>0</v>
      </c>
      <c r="N1256" s="15"/>
      <c r="O1256" s="15"/>
      <c r="P1256" s="15"/>
      <c r="Q1256" s="15"/>
      <c r="R1256" s="15"/>
      <c r="T1256" s="15">
        <f t="shared" si="354"/>
        <v>152011</v>
      </c>
    </row>
    <row r="1257" spans="2:20" x14ac:dyDescent="0.25">
      <c r="B1257" s="97">
        <f t="shared" si="348"/>
        <v>469</v>
      </c>
      <c r="C1257" s="29"/>
      <c r="D1257" s="29"/>
      <c r="E1257" s="29"/>
      <c r="F1257" s="53" t="s">
        <v>546</v>
      </c>
      <c r="G1257" s="125">
        <v>630</v>
      </c>
      <c r="H1257" s="29" t="s">
        <v>303</v>
      </c>
      <c r="I1257" s="15">
        <f>I1258+I1259+I1260+I1261+I1262+I1263+I1264</f>
        <v>215338</v>
      </c>
      <c r="J1257" s="15">
        <f>J1264+J1262+J1261+J1260+J1259+J1258</f>
        <v>193434</v>
      </c>
      <c r="K1257" s="15">
        <f>K1264+K1262+K1261+K1260+K1259+K1258</f>
        <v>201684</v>
      </c>
      <c r="L1257" s="15">
        <f>L1264+L1262+L1261+L1260+L1259+L1258+L1263</f>
        <v>183403.17</v>
      </c>
      <c r="M1257" s="15">
        <f t="shared" ref="M1257" si="358">M1264+M1262+M1261+M1260+M1259+M1258</f>
        <v>0</v>
      </c>
      <c r="N1257" s="15"/>
      <c r="O1257" s="15"/>
      <c r="P1257" s="15"/>
      <c r="Q1257" s="15"/>
      <c r="R1257" s="15"/>
      <c r="T1257" s="15">
        <f t="shared" si="354"/>
        <v>215338</v>
      </c>
    </row>
    <row r="1258" spans="2:20" x14ac:dyDescent="0.25">
      <c r="B1258" s="97">
        <f t="shared" si="348"/>
        <v>470</v>
      </c>
      <c r="C1258" s="9"/>
      <c r="D1258" s="9"/>
      <c r="E1258" s="9"/>
      <c r="F1258" s="54" t="s">
        <v>546</v>
      </c>
      <c r="G1258" s="126">
        <v>631</v>
      </c>
      <c r="H1258" s="9" t="s">
        <v>304</v>
      </c>
      <c r="I1258" s="10">
        <v>25</v>
      </c>
      <c r="J1258" s="10">
        <v>24</v>
      </c>
      <c r="K1258" s="10">
        <v>24</v>
      </c>
      <c r="L1258" s="10">
        <v>19.57</v>
      </c>
      <c r="M1258" s="10">
        <v>0</v>
      </c>
      <c r="N1258" s="10"/>
      <c r="O1258" s="10"/>
      <c r="P1258" s="10"/>
      <c r="Q1258" s="10"/>
      <c r="R1258" s="10"/>
      <c r="T1258" s="10">
        <f t="shared" si="354"/>
        <v>25</v>
      </c>
    </row>
    <row r="1259" spans="2:20" x14ac:dyDescent="0.25">
      <c r="B1259" s="97">
        <f t="shared" si="348"/>
        <v>471</v>
      </c>
      <c r="C1259" s="9"/>
      <c r="D1259" s="9"/>
      <c r="E1259" s="9"/>
      <c r="F1259" s="54" t="s">
        <v>546</v>
      </c>
      <c r="G1259" s="126">
        <v>632</v>
      </c>
      <c r="H1259" s="9" t="s">
        <v>314</v>
      </c>
      <c r="I1259" s="10">
        <v>115681</v>
      </c>
      <c r="J1259" s="10">
        <v>123407</v>
      </c>
      <c r="K1259" s="10">
        <v>123407</v>
      </c>
      <c r="L1259" s="10">
        <v>100625</v>
      </c>
      <c r="M1259" s="10">
        <v>0</v>
      </c>
      <c r="N1259" s="10"/>
      <c r="O1259" s="10"/>
      <c r="P1259" s="10"/>
      <c r="Q1259" s="10"/>
      <c r="R1259" s="10"/>
      <c r="T1259" s="10">
        <f t="shared" si="354"/>
        <v>115681</v>
      </c>
    </row>
    <row r="1260" spans="2:20" x14ac:dyDescent="0.25">
      <c r="B1260" s="97">
        <f t="shared" si="348"/>
        <v>472</v>
      </c>
      <c r="C1260" s="9"/>
      <c r="D1260" s="9"/>
      <c r="E1260" s="9"/>
      <c r="F1260" s="54" t="s">
        <v>546</v>
      </c>
      <c r="G1260" s="126">
        <v>633</v>
      </c>
      <c r="H1260" s="9" t="s">
        <v>305</v>
      </c>
      <c r="I1260" s="10">
        <v>36007</v>
      </c>
      <c r="J1260" s="10">
        <v>28935</v>
      </c>
      <c r="K1260" s="10">
        <v>28935</v>
      </c>
      <c r="L1260" s="10">
        <v>34151</v>
      </c>
      <c r="M1260" s="10">
        <v>0</v>
      </c>
      <c r="N1260" s="10"/>
      <c r="O1260" s="10"/>
      <c r="P1260" s="10"/>
      <c r="Q1260" s="10"/>
      <c r="R1260" s="10"/>
      <c r="T1260" s="10">
        <f t="shared" si="354"/>
        <v>36007</v>
      </c>
    </row>
    <row r="1261" spans="2:20" x14ac:dyDescent="0.25">
      <c r="B1261" s="97">
        <f t="shared" si="348"/>
        <v>473</v>
      </c>
      <c r="C1261" s="9"/>
      <c r="D1261" s="9"/>
      <c r="E1261" s="9"/>
      <c r="F1261" s="54" t="s">
        <v>546</v>
      </c>
      <c r="G1261" s="126">
        <v>634</v>
      </c>
      <c r="H1261" s="9" t="s">
        <v>306</v>
      </c>
      <c r="I1261" s="10">
        <v>16</v>
      </c>
      <c r="J1261" s="10">
        <v>15</v>
      </c>
      <c r="K1261" s="10">
        <v>15</v>
      </c>
      <c r="L1261" s="10">
        <v>15.6</v>
      </c>
      <c r="M1261" s="10">
        <v>0</v>
      </c>
      <c r="N1261" s="10"/>
      <c r="O1261" s="10"/>
      <c r="P1261" s="10"/>
      <c r="Q1261" s="10"/>
      <c r="R1261" s="10"/>
      <c r="T1261" s="10">
        <f t="shared" si="354"/>
        <v>16</v>
      </c>
    </row>
    <row r="1262" spans="2:20" x14ac:dyDescent="0.25">
      <c r="B1262" s="97">
        <f t="shared" si="348"/>
        <v>474</v>
      </c>
      <c r="C1262" s="9"/>
      <c r="D1262" s="9"/>
      <c r="E1262" s="9"/>
      <c r="F1262" s="54" t="s">
        <v>546</v>
      </c>
      <c r="G1262" s="126">
        <v>635</v>
      </c>
      <c r="H1262" s="9" t="s">
        <v>320</v>
      </c>
      <c r="I1262" s="10">
        <v>8510</v>
      </c>
      <c r="J1262" s="10">
        <v>11128</v>
      </c>
      <c r="K1262" s="10">
        <v>11128</v>
      </c>
      <c r="L1262" s="10">
        <v>19952</v>
      </c>
      <c r="M1262" s="10">
        <v>0</v>
      </c>
      <c r="N1262" s="10"/>
      <c r="O1262" s="10"/>
      <c r="P1262" s="10"/>
      <c r="Q1262" s="10"/>
      <c r="R1262" s="10"/>
      <c r="T1262" s="10">
        <f t="shared" si="354"/>
        <v>8510</v>
      </c>
    </row>
    <row r="1263" spans="2:20" x14ac:dyDescent="0.25">
      <c r="B1263" s="97">
        <f t="shared" si="348"/>
        <v>475</v>
      </c>
      <c r="C1263" s="9"/>
      <c r="D1263" s="9"/>
      <c r="E1263" s="9"/>
      <c r="F1263" s="54" t="s">
        <v>546</v>
      </c>
      <c r="G1263" s="126">
        <v>636</v>
      </c>
      <c r="H1263" s="9" t="s">
        <v>307</v>
      </c>
      <c r="I1263" s="10">
        <v>0</v>
      </c>
      <c r="J1263" s="10"/>
      <c r="K1263" s="10"/>
      <c r="L1263" s="10">
        <v>15</v>
      </c>
      <c r="M1263" s="10"/>
      <c r="N1263" s="10"/>
      <c r="O1263" s="10"/>
      <c r="P1263" s="10"/>
      <c r="Q1263" s="10"/>
      <c r="R1263" s="10"/>
      <c r="T1263" s="10">
        <f t="shared" si="354"/>
        <v>0</v>
      </c>
    </row>
    <row r="1264" spans="2:20" x14ac:dyDescent="0.25">
      <c r="B1264" s="97">
        <f t="shared" si="348"/>
        <v>476</v>
      </c>
      <c r="C1264" s="9"/>
      <c r="D1264" s="9"/>
      <c r="E1264" s="9"/>
      <c r="F1264" s="54" t="s">
        <v>546</v>
      </c>
      <c r="G1264" s="126">
        <v>637</v>
      </c>
      <c r="H1264" s="9" t="s">
        <v>308</v>
      </c>
      <c r="I1264" s="10">
        <v>55099</v>
      </c>
      <c r="J1264" s="10">
        <v>29925</v>
      </c>
      <c r="K1264" s="10">
        <v>38175</v>
      </c>
      <c r="L1264" s="10">
        <v>28625</v>
      </c>
      <c r="M1264" s="10">
        <v>0</v>
      </c>
      <c r="N1264" s="10"/>
      <c r="O1264" s="10"/>
      <c r="P1264" s="10"/>
      <c r="Q1264" s="10"/>
      <c r="R1264" s="10"/>
      <c r="T1264" s="10">
        <f t="shared" si="354"/>
        <v>55099</v>
      </c>
    </row>
    <row r="1265" spans="2:20" x14ac:dyDescent="0.25">
      <c r="B1265" s="97">
        <f t="shared" si="348"/>
        <v>477</v>
      </c>
      <c r="C1265" s="29"/>
      <c r="D1265" s="29"/>
      <c r="E1265" s="29"/>
      <c r="F1265" s="53" t="s">
        <v>546</v>
      </c>
      <c r="G1265" s="125">
        <v>640</v>
      </c>
      <c r="H1265" s="29" t="s">
        <v>315</v>
      </c>
      <c r="I1265" s="15">
        <v>5821</v>
      </c>
      <c r="J1265" s="15">
        <v>5523</v>
      </c>
      <c r="K1265" s="15">
        <v>5523</v>
      </c>
      <c r="L1265" s="15">
        <v>2937.16</v>
      </c>
      <c r="M1265" s="15">
        <v>0</v>
      </c>
      <c r="N1265" s="15"/>
      <c r="O1265" s="15"/>
      <c r="P1265" s="15"/>
      <c r="Q1265" s="15"/>
      <c r="R1265" s="15"/>
      <c r="T1265" s="15">
        <f t="shared" si="354"/>
        <v>5821</v>
      </c>
    </row>
    <row r="1266" spans="2:20" x14ac:dyDescent="0.25">
      <c r="B1266" s="97">
        <f t="shared" si="348"/>
        <v>478</v>
      </c>
      <c r="C1266" s="29"/>
      <c r="D1266" s="29"/>
      <c r="E1266" s="29"/>
      <c r="F1266" s="53" t="s">
        <v>551</v>
      </c>
      <c r="G1266" s="125">
        <v>630</v>
      </c>
      <c r="H1266" s="29" t="s">
        <v>303</v>
      </c>
      <c r="I1266" s="15">
        <f>I1267</f>
        <v>0</v>
      </c>
      <c r="J1266" s="15">
        <f t="shared" ref="J1266:M1266" si="359">J1267</f>
        <v>0</v>
      </c>
      <c r="K1266" s="15">
        <f t="shared" si="359"/>
        <v>428</v>
      </c>
      <c r="L1266" s="15">
        <f t="shared" si="359"/>
        <v>0</v>
      </c>
      <c r="M1266" s="15">
        <f t="shared" si="359"/>
        <v>0</v>
      </c>
      <c r="N1266" s="15"/>
      <c r="O1266" s="15"/>
      <c r="P1266" s="15"/>
      <c r="Q1266" s="15"/>
      <c r="R1266" s="15"/>
      <c r="T1266" s="15">
        <f t="shared" si="354"/>
        <v>0</v>
      </c>
    </row>
    <row r="1267" spans="2:20" x14ac:dyDescent="0.25">
      <c r="B1267" s="97">
        <f t="shared" si="348"/>
        <v>479</v>
      </c>
      <c r="C1267" s="9"/>
      <c r="D1267" s="9"/>
      <c r="E1267" s="9"/>
      <c r="F1267" s="54" t="s">
        <v>551</v>
      </c>
      <c r="G1267" s="126">
        <v>633</v>
      </c>
      <c r="H1267" s="9" t="s">
        <v>305</v>
      </c>
      <c r="I1267" s="10">
        <v>0</v>
      </c>
      <c r="J1267" s="10">
        <v>0</v>
      </c>
      <c r="K1267" s="10">
        <v>428</v>
      </c>
      <c r="L1267" s="10">
        <v>0</v>
      </c>
      <c r="M1267" s="10">
        <v>0</v>
      </c>
      <c r="N1267" s="10"/>
      <c r="O1267" s="10"/>
      <c r="P1267" s="10"/>
      <c r="Q1267" s="10"/>
      <c r="R1267" s="10"/>
      <c r="T1267" s="10">
        <f t="shared" si="354"/>
        <v>0</v>
      </c>
    </row>
    <row r="1268" spans="2:20" x14ac:dyDescent="0.25">
      <c r="B1268" s="97">
        <f t="shared" si="348"/>
        <v>480</v>
      </c>
      <c r="C1268" s="29"/>
      <c r="D1268" s="29"/>
      <c r="E1268" s="29"/>
      <c r="F1268" s="53" t="s">
        <v>551</v>
      </c>
      <c r="G1268" s="125">
        <v>640</v>
      </c>
      <c r="H1268" s="29" t="s">
        <v>315</v>
      </c>
      <c r="I1268" s="15">
        <v>0</v>
      </c>
      <c r="J1268" s="15">
        <v>0</v>
      </c>
      <c r="K1268" s="15">
        <v>0</v>
      </c>
      <c r="L1268" s="15">
        <v>1133</v>
      </c>
      <c r="M1268" s="15">
        <v>0</v>
      </c>
      <c r="N1268" s="15"/>
      <c r="O1268" s="15"/>
      <c r="P1268" s="15"/>
      <c r="Q1268" s="15"/>
      <c r="R1268" s="15"/>
      <c r="T1268" s="15">
        <f t="shared" si="354"/>
        <v>0</v>
      </c>
    </row>
    <row r="1269" spans="2:20" x14ac:dyDescent="0.25">
      <c r="B1269" s="97">
        <f t="shared" si="348"/>
        <v>481</v>
      </c>
      <c r="C1269" s="29"/>
      <c r="D1269" s="29"/>
      <c r="E1269" s="29"/>
      <c r="F1269" s="53"/>
      <c r="G1269" s="125">
        <v>630</v>
      </c>
      <c r="H1269" s="29" t="s">
        <v>539</v>
      </c>
      <c r="I1269" s="10">
        <v>0</v>
      </c>
      <c r="J1269" s="10"/>
      <c r="K1269" s="8">
        <v>18500</v>
      </c>
      <c r="L1269" s="15">
        <v>6</v>
      </c>
      <c r="M1269" s="15">
        <f>48973+42843</f>
        <v>91816</v>
      </c>
      <c r="N1269" s="15"/>
      <c r="O1269" s="15"/>
      <c r="P1269" s="15"/>
      <c r="Q1269" s="15"/>
      <c r="R1269" s="15"/>
      <c r="T1269" s="15">
        <f t="shared" si="354"/>
        <v>0</v>
      </c>
    </row>
    <row r="1270" spans="2:20" x14ac:dyDescent="0.25">
      <c r="B1270" s="97">
        <f t="shared" si="348"/>
        <v>482</v>
      </c>
      <c r="C1270" s="29"/>
      <c r="D1270" s="29"/>
      <c r="E1270" s="29"/>
      <c r="F1270" s="53" t="s">
        <v>546</v>
      </c>
      <c r="G1270" s="125">
        <v>710</v>
      </c>
      <c r="H1270" s="29" t="s">
        <v>321</v>
      </c>
      <c r="I1270" s="15"/>
      <c r="J1270" s="15"/>
      <c r="K1270" s="15"/>
      <c r="L1270" s="15"/>
      <c r="M1270" s="15"/>
      <c r="N1270" s="15">
        <f>N1271+N1272+N1274</f>
        <v>33000</v>
      </c>
      <c r="O1270" s="15"/>
      <c r="P1270" s="15">
        <f t="shared" ref="P1270" si="360">P1271+P1272+P1274</f>
        <v>84000</v>
      </c>
      <c r="Q1270" s="15"/>
      <c r="R1270" s="15"/>
      <c r="T1270" s="15">
        <f t="shared" si="354"/>
        <v>33000</v>
      </c>
    </row>
    <row r="1271" spans="2:20" x14ac:dyDescent="0.25">
      <c r="B1271" s="97">
        <f t="shared" si="348"/>
        <v>483</v>
      </c>
      <c r="C1271" s="9"/>
      <c r="D1271" s="9"/>
      <c r="E1271" s="9"/>
      <c r="F1271" s="54" t="s">
        <v>546</v>
      </c>
      <c r="G1271" s="126">
        <v>713</v>
      </c>
      <c r="H1271" s="9" t="s">
        <v>360</v>
      </c>
      <c r="I1271" s="10"/>
      <c r="J1271" s="10"/>
      <c r="K1271" s="10"/>
      <c r="L1271" s="10"/>
      <c r="M1271" s="10"/>
      <c r="N1271" s="10"/>
      <c r="O1271" s="10"/>
      <c r="P1271" s="10">
        <v>0</v>
      </c>
      <c r="Q1271" s="10"/>
      <c r="R1271" s="10"/>
      <c r="T1271" s="10">
        <f t="shared" si="354"/>
        <v>0</v>
      </c>
    </row>
    <row r="1272" spans="2:20" x14ac:dyDescent="0.25">
      <c r="B1272" s="97">
        <f t="shared" si="348"/>
        <v>484</v>
      </c>
      <c r="C1272" s="9"/>
      <c r="D1272" s="9"/>
      <c r="E1272" s="9"/>
      <c r="F1272" s="55" t="s">
        <v>546</v>
      </c>
      <c r="G1272" s="126">
        <v>716</v>
      </c>
      <c r="H1272" s="9" t="s">
        <v>323</v>
      </c>
      <c r="I1272" s="15"/>
      <c r="J1272" s="15"/>
      <c r="K1272" s="15"/>
      <c r="L1272" s="15"/>
      <c r="M1272" s="15"/>
      <c r="N1272" s="16"/>
      <c r="O1272" s="16"/>
      <c r="P1272" s="16">
        <f t="shared" ref="P1272" si="361">P1273</f>
        <v>624</v>
      </c>
      <c r="Q1272" s="16"/>
      <c r="R1272" s="16"/>
      <c r="T1272" s="16">
        <f t="shared" si="354"/>
        <v>0</v>
      </c>
    </row>
    <row r="1273" spans="2:20" x14ac:dyDescent="0.25">
      <c r="B1273" s="97">
        <f t="shared" si="348"/>
        <v>485</v>
      </c>
      <c r="C1273" s="12"/>
      <c r="D1273" s="12"/>
      <c r="E1273" s="12"/>
      <c r="F1273" s="12"/>
      <c r="G1273" s="127"/>
      <c r="H1273" s="12" t="s">
        <v>781</v>
      </c>
      <c r="I1273" s="13"/>
      <c r="J1273" s="13"/>
      <c r="K1273" s="13"/>
      <c r="L1273" s="13"/>
      <c r="M1273" s="13"/>
      <c r="N1273" s="13"/>
      <c r="O1273" s="13"/>
      <c r="P1273" s="13">
        <v>624</v>
      </c>
      <c r="Q1273" s="13"/>
      <c r="R1273" s="13"/>
      <c r="T1273" s="13">
        <f t="shared" si="354"/>
        <v>0</v>
      </c>
    </row>
    <row r="1274" spans="2:20" x14ac:dyDescent="0.25">
      <c r="B1274" s="97">
        <f t="shared" si="348"/>
        <v>486</v>
      </c>
      <c r="C1274" s="9"/>
      <c r="D1274" s="9"/>
      <c r="E1274" s="9"/>
      <c r="F1274" s="54" t="s">
        <v>546</v>
      </c>
      <c r="G1274" s="126">
        <v>717</v>
      </c>
      <c r="H1274" s="9" t="s">
        <v>327</v>
      </c>
      <c r="I1274" s="10"/>
      <c r="J1274" s="10"/>
      <c r="K1274" s="10"/>
      <c r="L1274" s="10"/>
      <c r="M1274" s="10"/>
      <c r="N1274" s="10">
        <f>N1275+N1276</f>
        <v>33000</v>
      </c>
      <c r="O1274" s="10"/>
      <c r="P1274" s="10">
        <f t="shared" ref="P1274" si="362">P1275+P1276</f>
        <v>83376</v>
      </c>
      <c r="Q1274" s="10"/>
      <c r="R1274" s="10"/>
      <c r="T1274" s="10">
        <f t="shared" si="354"/>
        <v>33000</v>
      </c>
    </row>
    <row r="1275" spans="2:20" x14ac:dyDescent="0.25">
      <c r="B1275" s="97">
        <f t="shared" si="348"/>
        <v>487</v>
      </c>
      <c r="C1275" s="12"/>
      <c r="D1275" s="12"/>
      <c r="E1275" s="12"/>
      <c r="F1275" s="12"/>
      <c r="G1275" s="127"/>
      <c r="H1275" s="91" t="s">
        <v>840</v>
      </c>
      <c r="I1275" s="13"/>
      <c r="J1275" s="13"/>
      <c r="K1275" s="13"/>
      <c r="L1275" s="13"/>
      <c r="M1275" s="13"/>
      <c r="N1275" s="13">
        <v>33000</v>
      </c>
      <c r="O1275" s="13"/>
      <c r="P1275" s="13">
        <v>43376</v>
      </c>
      <c r="Q1275" s="13"/>
      <c r="R1275" s="13"/>
      <c r="T1275" s="13">
        <f t="shared" si="354"/>
        <v>33000</v>
      </c>
    </row>
    <row r="1276" spans="2:20" x14ac:dyDescent="0.25">
      <c r="B1276" s="97">
        <f t="shared" si="348"/>
        <v>488</v>
      </c>
      <c r="C1276" s="12"/>
      <c r="D1276" s="12"/>
      <c r="E1276" s="12"/>
      <c r="F1276" s="12"/>
      <c r="G1276" s="127"/>
      <c r="H1276" s="12" t="s">
        <v>549</v>
      </c>
      <c r="I1276" s="13"/>
      <c r="J1276" s="13"/>
      <c r="K1276" s="13"/>
      <c r="L1276" s="13"/>
      <c r="M1276" s="13"/>
      <c r="N1276" s="13"/>
      <c r="O1276" s="13"/>
      <c r="P1276" s="13">
        <v>40000</v>
      </c>
      <c r="Q1276" s="13"/>
      <c r="R1276" s="13"/>
      <c r="T1276" s="13">
        <f t="shared" si="354"/>
        <v>0</v>
      </c>
    </row>
    <row r="1277" spans="2:20" ht="14.25" customHeight="1" x14ac:dyDescent="0.25">
      <c r="B1277" s="97">
        <f t="shared" si="348"/>
        <v>489</v>
      </c>
      <c r="C1277" s="49"/>
      <c r="D1277" s="49"/>
      <c r="E1277" s="49">
        <v>12</v>
      </c>
      <c r="F1277" s="49"/>
      <c r="G1277" s="123"/>
      <c r="H1277" s="49" t="s">
        <v>190</v>
      </c>
      <c r="I1277" s="50">
        <f>I1278</f>
        <v>1126486</v>
      </c>
      <c r="J1277" s="50">
        <f t="shared" ref="J1277:M1277" si="363">J1278</f>
        <v>1018363</v>
      </c>
      <c r="K1277" s="50">
        <f t="shared" si="363"/>
        <v>1030650</v>
      </c>
      <c r="L1277" s="50">
        <f t="shared" si="363"/>
        <v>971233.52</v>
      </c>
      <c r="M1277" s="50">
        <f t="shared" si="363"/>
        <v>925211</v>
      </c>
      <c r="N1277" s="50">
        <f>N1305</f>
        <v>20000</v>
      </c>
      <c r="O1277" s="50">
        <f t="shared" ref="O1277:R1277" si="364">O1305</f>
        <v>0</v>
      </c>
      <c r="P1277" s="50">
        <f t="shared" si="364"/>
        <v>0</v>
      </c>
      <c r="Q1277" s="50">
        <f t="shared" si="364"/>
        <v>0</v>
      </c>
      <c r="R1277" s="50">
        <f t="shared" si="364"/>
        <v>2989</v>
      </c>
      <c r="T1277" s="50">
        <f t="shared" si="354"/>
        <v>1146486</v>
      </c>
    </row>
    <row r="1278" spans="2:20" ht="15" hidden="1" customHeight="1" x14ac:dyDescent="0.25">
      <c r="B1278" s="97">
        <f t="shared" si="348"/>
        <v>490</v>
      </c>
      <c r="C1278" s="51"/>
      <c r="D1278" s="51"/>
      <c r="E1278" s="51" t="s">
        <v>60</v>
      </c>
      <c r="F1278" s="51"/>
      <c r="G1278" s="124"/>
      <c r="H1278" s="51"/>
      <c r="I1278" s="52">
        <f>I1279+I1280+I1281+I1289+I1290+I1291+I1292+I1300+I1301+I1302+I1304</f>
        <v>1126486</v>
      </c>
      <c r="J1278" s="52">
        <f>J1302+J1300+J1292+J1291+J1290+J1289+J1281+J1280+J1279</f>
        <v>1018363</v>
      </c>
      <c r="K1278" s="52">
        <f>K1302+K1300+K1292+K1291+K1290+K1289+K1281+K1280+K1279+K1301+K1304</f>
        <v>1030650</v>
      </c>
      <c r="L1278" s="52">
        <f>L1302+L1300+L1292+L1291+L1290+L1289+L1281+L1280+L1279</f>
        <v>971233.52</v>
      </c>
      <c r="M1278" s="52">
        <f>M1302+M1300+M1292+M1291+M1290+M1289+M1281+M1280+M1279+M1304</f>
        <v>925211</v>
      </c>
      <c r="N1278" s="52"/>
      <c r="O1278" s="52">
        <v>0</v>
      </c>
      <c r="P1278" s="52">
        <v>0</v>
      </c>
      <c r="Q1278" s="52">
        <v>0</v>
      </c>
      <c r="R1278" s="52">
        <v>0</v>
      </c>
      <c r="T1278" s="52">
        <f t="shared" si="354"/>
        <v>1126486</v>
      </c>
    </row>
    <row r="1279" spans="2:20" x14ac:dyDescent="0.25">
      <c r="B1279" s="97">
        <f t="shared" si="348"/>
        <v>491</v>
      </c>
      <c r="C1279" s="29"/>
      <c r="D1279" s="29"/>
      <c r="E1279" s="29"/>
      <c r="F1279" s="53" t="s">
        <v>543</v>
      </c>
      <c r="G1279" s="125">
        <v>610</v>
      </c>
      <c r="H1279" s="29" t="s">
        <v>338</v>
      </c>
      <c r="I1279" s="15">
        <v>280590</v>
      </c>
      <c r="J1279" s="15">
        <v>264569</v>
      </c>
      <c r="K1279" s="15">
        <v>264569</v>
      </c>
      <c r="L1279" s="15">
        <v>264291</v>
      </c>
      <c r="M1279" s="15">
        <v>549479</v>
      </c>
      <c r="N1279" s="15"/>
      <c r="O1279" s="15"/>
      <c r="P1279" s="15"/>
      <c r="Q1279" s="15"/>
      <c r="R1279" s="15"/>
      <c r="T1279" s="15">
        <f t="shared" si="354"/>
        <v>280590</v>
      </c>
    </row>
    <row r="1280" spans="2:20" x14ac:dyDescent="0.25">
      <c r="B1280" s="97">
        <f t="shared" ref="B1280:B1343" si="365">B1279+1</f>
        <v>492</v>
      </c>
      <c r="C1280" s="29"/>
      <c r="D1280" s="29"/>
      <c r="E1280" s="29"/>
      <c r="F1280" s="53" t="s">
        <v>543</v>
      </c>
      <c r="G1280" s="125">
        <v>620</v>
      </c>
      <c r="H1280" s="29" t="s">
        <v>313</v>
      </c>
      <c r="I1280" s="15">
        <v>103285</v>
      </c>
      <c r="J1280" s="15">
        <v>97360</v>
      </c>
      <c r="K1280" s="15">
        <v>97360</v>
      </c>
      <c r="L1280" s="15">
        <v>98071.62</v>
      </c>
      <c r="M1280" s="15">
        <v>191747</v>
      </c>
      <c r="N1280" s="15"/>
      <c r="O1280" s="15"/>
      <c r="P1280" s="15"/>
      <c r="Q1280" s="15"/>
      <c r="R1280" s="15"/>
      <c r="T1280" s="15">
        <f t="shared" si="354"/>
        <v>103285</v>
      </c>
    </row>
    <row r="1281" spans="2:20" x14ac:dyDescent="0.25">
      <c r="B1281" s="97">
        <f t="shared" si="365"/>
        <v>493</v>
      </c>
      <c r="C1281" s="29"/>
      <c r="D1281" s="29"/>
      <c r="E1281" s="29"/>
      <c r="F1281" s="53" t="s">
        <v>543</v>
      </c>
      <c r="G1281" s="125">
        <v>630</v>
      </c>
      <c r="H1281" s="29" t="s">
        <v>303</v>
      </c>
      <c r="I1281" s="15">
        <f>I1282+I1283+I1284+I1285+I1286+I1287+I1288</f>
        <v>83540</v>
      </c>
      <c r="J1281" s="15">
        <f t="shared" ref="J1281:M1281" si="366">J1288+J1287+J1286+J1285+J1284+J1283+J1282</f>
        <v>75345</v>
      </c>
      <c r="K1281" s="15">
        <f t="shared" si="366"/>
        <v>75345</v>
      </c>
      <c r="L1281" s="15">
        <f t="shared" si="366"/>
        <v>55926.28</v>
      </c>
      <c r="M1281" s="15">
        <f t="shared" si="366"/>
        <v>112946</v>
      </c>
      <c r="N1281" s="15"/>
      <c r="O1281" s="15"/>
      <c r="P1281" s="15"/>
      <c r="Q1281" s="15"/>
      <c r="R1281" s="15"/>
      <c r="T1281" s="15">
        <f t="shared" si="354"/>
        <v>83540</v>
      </c>
    </row>
    <row r="1282" spans="2:20" x14ac:dyDescent="0.25">
      <c r="B1282" s="97">
        <f t="shared" si="365"/>
        <v>494</v>
      </c>
      <c r="C1282" s="9"/>
      <c r="D1282" s="9"/>
      <c r="E1282" s="9"/>
      <c r="F1282" s="54" t="s">
        <v>543</v>
      </c>
      <c r="G1282" s="126">
        <v>631</v>
      </c>
      <c r="H1282" s="9" t="s">
        <v>304</v>
      </c>
      <c r="I1282" s="10">
        <v>290</v>
      </c>
      <c r="J1282" s="10">
        <v>275</v>
      </c>
      <c r="K1282" s="10">
        <v>275</v>
      </c>
      <c r="L1282" s="10">
        <v>0</v>
      </c>
      <c r="M1282" s="10">
        <v>253</v>
      </c>
      <c r="N1282" s="10"/>
      <c r="O1282" s="10"/>
      <c r="P1282" s="10"/>
      <c r="Q1282" s="10"/>
      <c r="R1282" s="10"/>
      <c r="T1282" s="10">
        <f t="shared" si="354"/>
        <v>290</v>
      </c>
    </row>
    <row r="1283" spans="2:20" x14ac:dyDescent="0.25">
      <c r="B1283" s="97">
        <f t="shared" si="365"/>
        <v>495</v>
      </c>
      <c r="C1283" s="9"/>
      <c r="D1283" s="9"/>
      <c r="E1283" s="9"/>
      <c r="F1283" s="54" t="s">
        <v>543</v>
      </c>
      <c r="G1283" s="126">
        <v>632</v>
      </c>
      <c r="H1283" s="9" t="s">
        <v>314</v>
      </c>
      <c r="I1283" s="10">
        <v>27490</v>
      </c>
      <c r="J1283" s="10">
        <v>25934</v>
      </c>
      <c r="K1283" s="10">
        <v>25934</v>
      </c>
      <c r="L1283" s="10">
        <v>27921.39</v>
      </c>
      <c r="M1283" s="10">
        <v>35056</v>
      </c>
      <c r="N1283" s="10"/>
      <c r="O1283" s="10"/>
      <c r="P1283" s="10"/>
      <c r="Q1283" s="10"/>
      <c r="R1283" s="10"/>
      <c r="T1283" s="10">
        <f t="shared" si="354"/>
        <v>27490</v>
      </c>
    </row>
    <row r="1284" spans="2:20" x14ac:dyDescent="0.25">
      <c r="B1284" s="97">
        <f t="shared" si="365"/>
        <v>496</v>
      </c>
      <c r="C1284" s="9"/>
      <c r="D1284" s="9"/>
      <c r="E1284" s="9"/>
      <c r="F1284" s="54" t="s">
        <v>543</v>
      </c>
      <c r="G1284" s="126">
        <v>633</v>
      </c>
      <c r="H1284" s="9" t="s">
        <v>305</v>
      </c>
      <c r="I1284" s="10">
        <v>14405</v>
      </c>
      <c r="J1284" s="10">
        <v>13589</v>
      </c>
      <c r="K1284" s="10">
        <v>13589</v>
      </c>
      <c r="L1284" s="10">
        <v>9078</v>
      </c>
      <c r="M1284" s="10">
        <v>42687</v>
      </c>
      <c r="N1284" s="10"/>
      <c r="O1284" s="10"/>
      <c r="P1284" s="10"/>
      <c r="Q1284" s="10"/>
      <c r="R1284" s="10"/>
      <c r="T1284" s="10">
        <f t="shared" si="354"/>
        <v>14405</v>
      </c>
    </row>
    <row r="1285" spans="2:20" x14ac:dyDescent="0.25">
      <c r="B1285" s="97">
        <f t="shared" si="365"/>
        <v>497</v>
      </c>
      <c r="C1285" s="9"/>
      <c r="D1285" s="9"/>
      <c r="E1285" s="9"/>
      <c r="F1285" s="54" t="s">
        <v>543</v>
      </c>
      <c r="G1285" s="126">
        <v>634</v>
      </c>
      <c r="H1285" s="9" t="s">
        <v>306</v>
      </c>
      <c r="I1285" s="10">
        <v>0</v>
      </c>
      <c r="J1285" s="10">
        <v>112</v>
      </c>
      <c r="K1285" s="10">
        <v>112</v>
      </c>
      <c r="L1285" s="10"/>
      <c r="M1285" s="10">
        <v>256</v>
      </c>
      <c r="N1285" s="10"/>
      <c r="O1285" s="10"/>
      <c r="P1285" s="10"/>
      <c r="Q1285" s="10"/>
      <c r="R1285" s="10"/>
      <c r="T1285" s="10">
        <f t="shared" si="354"/>
        <v>0</v>
      </c>
    </row>
    <row r="1286" spans="2:20" x14ac:dyDescent="0.25">
      <c r="B1286" s="97">
        <f t="shared" si="365"/>
        <v>498</v>
      </c>
      <c r="C1286" s="9"/>
      <c r="D1286" s="9"/>
      <c r="E1286" s="9"/>
      <c r="F1286" s="54" t="s">
        <v>543</v>
      </c>
      <c r="G1286" s="126">
        <v>635</v>
      </c>
      <c r="H1286" s="9" t="s">
        <v>320</v>
      </c>
      <c r="I1286" s="10">
        <v>19835</v>
      </c>
      <c r="J1286" s="10">
        <v>19655</v>
      </c>
      <c r="K1286" s="10">
        <v>19655</v>
      </c>
      <c r="L1286" s="10">
        <v>5985.11</v>
      </c>
      <c r="M1286" s="10">
        <v>11321</v>
      </c>
      <c r="N1286" s="10"/>
      <c r="O1286" s="10"/>
      <c r="P1286" s="10"/>
      <c r="Q1286" s="10"/>
      <c r="R1286" s="10"/>
      <c r="T1286" s="10">
        <f t="shared" si="354"/>
        <v>19835</v>
      </c>
    </row>
    <row r="1287" spans="2:20" x14ac:dyDescent="0.25">
      <c r="B1287" s="97">
        <f t="shared" si="365"/>
        <v>499</v>
      </c>
      <c r="C1287" s="9"/>
      <c r="D1287" s="9"/>
      <c r="E1287" s="9"/>
      <c r="F1287" s="54" t="s">
        <v>543</v>
      </c>
      <c r="G1287" s="126">
        <v>636</v>
      </c>
      <c r="H1287" s="9" t="s">
        <v>307</v>
      </c>
      <c r="I1287" s="10">
        <v>2240</v>
      </c>
      <c r="J1287" s="10">
        <v>1056</v>
      </c>
      <c r="K1287" s="10">
        <v>1056</v>
      </c>
      <c r="L1287" s="10">
        <v>1444.23</v>
      </c>
      <c r="M1287" s="10">
        <v>3008</v>
      </c>
      <c r="N1287" s="10"/>
      <c r="O1287" s="10"/>
      <c r="P1287" s="10"/>
      <c r="Q1287" s="10"/>
      <c r="R1287" s="10"/>
      <c r="T1287" s="10">
        <f t="shared" si="354"/>
        <v>2240</v>
      </c>
    </row>
    <row r="1288" spans="2:20" x14ac:dyDescent="0.25">
      <c r="B1288" s="97">
        <f t="shared" si="365"/>
        <v>500</v>
      </c>
      <c r="C1288" s="9"/>
      <c r="D1288" s="9"/>
      <c r="E1288" s="9"/>
      <c r="F1288" s="54" t="s">
        <v>543</v>
      </c>
      <c r="G1288" s="126">
        <v>637</v>
      </c>
      <c r="H1288" s="9" t="s">
        <v>308</v>
      </c>
      <c r="I1288" s="10">
        <v>19280</v>
      </c>
      <c r="J1288" s="10">
        <v>14724</v>
      </c>
      <c r="K1288" s="10">
        <v>14724</v>
      </c>
      <c r="L1288" s="10">
        <v>11497.55</v>
      </c>
      <c r="M1288" s="10">
        <v>20365</v>
      </c>
      <c r="N1288" s="10"/>
      <c r="O1288" s="10"/>
      <c r="P1288" s="10"/>
      <c r="Q1288" s="10"/>
      <c r="R1288" s="10"/>
      <c r="T1288" s="10">
        <f t="shared" si="354"/>
        <v>19280</v>
      </c>
    </row>
    <row r="1289" spans="2:20" x14ac:dyDescent="0.25">
      <c r="B1289" s="97">
        <f t="shared" si="365"/>
        <v>501</v>
      </c>
      <c r="C1289" s="29"/>
      <c r="D1289" s="29"/>
      <c r="E1289" s="29"/>
      <c r="F1289" s="53" t="s">
        <v>543</v>
      </c>
      <c r="G1289" s="125">
        <v>640</v>
      </c>
      <c r="H1289" s="29" t="s">
        <v>315</v>
      </c>
      <c r="I1289" s="15">
        <v>12710</v>
      </c>
      <c r="J1289" s="15">
        <v>9319</v>
      </c>
      <c r="K1289" s="15">
        <v>9319</v>
      </c>
      <c r="L1289" s="15">
        <v>5903</v>
      </c>
      <c r="M1289" s="15">
        <f>5041+17602+2332</f>
        <v>24975</v>
      </c>
      <c r="N1289" s="15"/>
      <c r="O1289" s="15"/>
      <c r="P1289" s="15"/>
      <c r="Q1289" s="15"/>
      <c r="R1289" s="15"/>
      <c r="T1289" s="15">
        <f t="shared" si="354"/>
        <v>12710</v>
      </c>
    </row>
    <row r="1290" spans="2:20" x14ac:dyDescent="0.25">
      <c r="B1290" s="97">
        <f t="shared" si="365"/>
        <v>502</v>
      </c>
      <c r="C1290" s="29"/>
      <c r="D1290" s="29"/>
      <c r="E1290" s="29"/>
      <c r="F1290" s="53" t="s">
        <v>546</v>
      </c>
      <c r="G1290" s="125">
        <v>610</v>
      </c>
      <c r="H1290" s="29" t="s">
        <v>338</v>
      </c>
      <c r="I1290" s="15">
        <v>362957</v>
      </c>
      <c r="J1290" s="15">
        <v>330163</v>
      </c>
      <c r="K1290" s="15">
        <v>330163</v>
      </c>
      <c r="L1290" s="15">
        <v>328494</v>
      </c>
      <c r="M1290" s="15">
        <v>0</v>
      </c>
      <c r="N1290" s="15"/>
      <c r="O1290" s="15"/>
      <c r="P1290" s="15"/>
      <c r="Q1290" s="15"/>
      <c r="R1290" s="15"/>
      <c r="T1290" s="15">
        <f t="shared" si="354"/>
        <v>362957</v>
      </c>
    </row>
    <row r="1291" spans="2:20" x14ac:dyDescent="0.25">
      <c r="B1291" s="97">
        <f t="shared" si="365"/>
        <v>503</v>
      </c>
      <c r="C1291" s="29"/>
      <c r="D1291" s="29"/>
      <c r="E1291" s="29"/>
      <c r="F1291" s="53" t="s">
        <v>546</v>
      </c>
      <c r="G1291" s="125">
        <v>620</v>
      </c>
      <c r="H1291" s="29" t="s">
        <v>313</v>
      </c>
      <c r="I1291" s="15">
        <v>132735</v>
      </c>
      <c r="J1291" s="15">
        <v>121006</v>
      </c>
      <c r="K1291" s="15">
        <v>121006</v>
      </c>
      <c r="L1291" s="15">
        <v>119170</v>
      </c>
      <c r="M1291" s="15">
        <v>0</v>
      </c>
      <c r="N1291" s="15"/>
      <c r="O1291" s="15"/>
      <c r="P1291" s="15"/>
      <c r="Q1291" s="15"/>
      <c r="R1291" s="15"/>
      <c r="T1291" s="15">
        <f t="shared" si="354"/>
        <v>132735</v>
      </c>
    </row>
    <row r="1292" spans="2:20" x14ac:dyDescent="0.25">
      <c r="B1292" s="97">
        <f t="shared" si="365"/>
        <v>504</v>
      </c>
      <c r="C1292" s="29"/>
      <c r="D1292" s="29"/>
      <c r="E1292" s="29"/>
      <c r="F1292" s="53" t="s">
        <v>546</v>
      </c>
      <c r="G1292" s="125">
        <v>630</v>
      </c>
      <c r="H1292" s="29" t="s">
        <v>303</v>
      </c>
      <c r="I1292" s="15">
        <f>I1293+I1294+I1295+I1296+I1297+I1298+I1299</f>
        <v>135079</v>
      </c>
      <c r="J1292" s="15">
        <f t="shared" ref="J1292:M1292" si="367">J1299+J1298+J1297+J1296+J1295+J1294+J1293</f>
        <v>109154</v>
      </c>
      <c r="K1292" s="15">
        <f t="shared" si="367"/>
        <v>117274</v>
      </c>
      <c r="L1292" s="15">
        <f t="shared" si="367"/>
        <v>87056.62</v>
      </c>
      <c r="M1292" s="15">
        <f t="shared" si="367"/>
        <v>0</v>
      </c>
      <c r="N1292" s="15"/>
      <c r="O1292" s="15"/>
      <c r="P1292" s="15"/>
      <c r="Q1292" s="15"/>
      <c r="R1292" s="15"/>
      <c r="T1292" s="15">
        <f t="shared" si="354"/>
        <v>135079</v>
      </c>
    </row>
    <row r="1293" spans="2:20" x14ac:dyDescent="0.25">
      <c r="B1293" s="97">
        <f t="shared" si="365"/>
        <v>505</v>
      </c>
      <c r="C1293" s="9"/>
      <c r="D1293" s="9"/>
      <c r="E1293" s="9"/>
      <c r="F1293" s="54" t="s">
        <v>546</v>
      </c>
      <c r="G1293" s="126">
        <v>631</v>
      </c>
      <c r="H1293" s="9" t="s">
        <v>304</v>
      </c>
      <c r="I1293" s="10">
        <v>358</v>
      </c>
      <c r="J1293" s="10">
        <v>337</v>
      </c>
      <c r="K1293" s="10">
        <v>337</v>
      </c>
      <c r="L1293" s="10">
        <v>420</v>
      </c>
      <c r="M1293" s="10">
        <v>0</v>
      </c>
      <c r="N1293" s="10"/>
      <c r="O1293" s="10"/>
      <c r="P1293" s="10"/>
      <c r="Q1293" s="10"/>
      <c r="R1293" s="10"/>
      <c r="T1293" s="10">
        <f t="shared" si="354"/>
        <v>358</v>
      </c>
    </row>
    <row r="1294" spans="2:20" x14ac:dyDescent="0.25">
      <c r="B1294" s="97">
        <f t="shared" si="365"/>
        <v>506</v>
      </c>
      <c r="C1294" s="9"/>
      <c r="D1294" s="9"/>
      <c r="E1294" s="9"/>
      <c r="F1294" s="54" t="s">
        <v>546</v>
      </c>
      <c r="G1294" s="126">
        <v>632</v>
      </c>
      <c r="H1294" s="9" t="s">
        <v>314</v>
      </c>
      <c r="I1294" s="10">
        <v>31800</v>
      </c>
      <c r="J1294" s="10">
        <v>31697</v>
      </c>
      <c r="K1294" s="10">
        <v>31697</v>
      </c>
      <c r="L1294" s="10">
        <v>27347</v>
      </c>
      <c r="M1294" s="10">
        <v>0</v>
      </c>
      <c r="N1294" s="10"/>
      <c r="O1294" s="10"/>
      <c r="P1294" s="10"/>
      <c r="Q1294" s="10"/>
      <c r="R1294" s="10"/>
      <c r="T1294" s="10">
        <f t="shared" si="354"/>
        <v>31800</v>
      </c>
    </row>
    <row r="1295" spans="2:20" x14ac:dyDescent="0.25">
      <c r="B1295" s="97">
        <f t="shared" si="365"/>
        <v>507</v>
      </c>
      <c r="C1295" s="9"/>
      <c r="D1295" s="9"/>
      <c r="E1295" s="9"/>
      <c r="F1295" s="54" t="s">
        <v>546</v>
      </c>
      <c r="G1295" s="126">
        <v>633</v>
      </c>
      <c r="H1295" s="9" t="s">
        <v>305</v>
      </c>
      <c r="I1295" s="10">
        <v>38865</v>
      </c>
      <c r="J1295" s="10">
        <v>28831</v>
      </c>
      <c r="K1295" s="10">
        <v>28831</v>
      </c>
      <c r="L1295" s="10">
        <v>18054</v>
      </c>
      <c r="M1295" s="10">
        <v>0</v>
      </c>
      <c r="N1295" s="10"/>
      <c r="O1295" s="10"/>
      <c r="P1295" s="10"/>
      <c r="Q1295" s="10"/>
      <c r="R1295" s="10"/>
      <c r="T1295" s="10">
        <f t="shared" si="354"/>
        <v>38865</v>
      </c>
    </row>
    <row r="1296" spans="2:20" x14ac:dyDescent="0.25">
      <c r="B1296" s="97">
        <f t="shared" si="365"/>
        <v>508</v>
      </c>
      <c r="C1296" s="9"/>
      <c r="D1296" s="9"/>
      <c r="E1296" s="9"/>
      <c r="F1296" s="54" t="s">
        <v>546</v>
      </c>
      <c r="G1296" s="126">
        <v>634</v>
      </c>
      <c r="H1296" s="9" t="s">
        <v>306</v>
      </c>
      <c r="I1296" s="10">
        <v>0</v>
      </c>
      <c r="J1296" s="10">
        <v>143</v>
      </c>
      <c r="K1296" s="10">
        <v>143</v>
      </c>
      <c r="L1296" s="10">
        <v>47.13</v>
      </c>
      <c r="M1296" s="10">
        <v>0</v>
      </c>
      <c r="N1296" s="10"/>
      <c r="O1296" s="10"/>
      <c r="P1296" s="10"/>
      <c r="Q1296" s="10"/>
      <c r="R1296" s="10"/>
      <c r="T1296" s="10">
        <f t="shared" si="354"/>
        <v>0</v>
      </c>
    </row>
    <row r="1297" spans="2:20" x14ac:dyDescent="0.25">
      <c r="B1297" s="97">
        <f t="shared" si="365"/>
        <v>509</v>
      </c>
      <c r="C1297" s="9"/>
      <c r="D1297" s="9"/>
      <c r="E1297" s="9"/>
      <c r="F1297" s="54" t="s">
        <v>546</v>
      </c>
      <c r="G1297" s="126">
        <v>635</v>
      </c>
      <c r="H1297" s="9" t="s">
        <v>320</v>
      </c>
      <c r="I1297" s="10">
        <v>26856</v>
      </c>
      <c r="J1297" s="10">
        <v>26282</v>
      </c>
      <c r="K1297" s="10">
        <v>26282</v>
      </c>
      <c r="L1297" s="10">
        <v>15563</v>
      </c>
      <c r="M1297" s="10">
        <v>0</v>
      </c>
      <c r="N1297" s="10"/>
      <c r="O1297" s="10"/>
      <c r="P1297" s="10"/>
      <c r="Q1297" s="10"/>
      <c r="R1297" s="10"/>
      <c r="T1297" s="10">
        <f t="shared" si="354"/>
        <v>26856</v>
      </c>
    </row>
    <row r="1298" spans="2:20" x14ac:dyDescent="0.25">
      <c r="B1298" s="97">
        <f t="shared" si="365"/>
        <v>510</v>
      </c>
      <c r="C1298" s="9"/>
      <c r="D1298" s="9"/>
      <c r="E1298" s="9"/>
      <c r="F1298" s="54" t="s">
        <v>546</v>
      </c>
      <c r="G1298" s="126">
        <v>636</v>
      </c>
      <c r="H1298" s="9" t="s">
        <v>307</v>
      </c>
      <c r="I1298" s="10">
        <v>2520</v>
      </c>
      <c r="J1298" s="10">
        <v>1290</v>
      </c>
      <c r="K1298" s="10">
        <v>1290</v>
      </c>
      <c r="L1298" s="10">
        <v>1293.49</v>
      </c>
      <c r="M1298" s="10">
        <v>0</v>
      </c>
      <c r="N1298" s="10"/>
      <c r="O1298" s="10"/>
      <c r="P1298" s="10"/>
      <c r="Q1298" s="10"/>
      <c r="R1298" s="10"/>
      <c r="T1298" s="10">
        <f t="shared" si="354"/>
        <v>2520</v>
      </c>
    </row>
    <row r="1299" spans="2:20" x14ac:dyDescent="0.25">
      <c r="B1299" s="97">
        <f t="shared" si="365"/>
        <v>511</v>
      </c>
      <c r="C1299" s="9"/>
      <c r="D1299" s="9"/>
      <c r="E1299" s="9"/>
      <c r="F1299" s="54" t="s">
        <v>546</v>
      </c>
      <c r="G1299" s="126">
        <v>637</v>
      </c>
      <c r="H1299" s="9" t="s">
        <v>308</v>
      </c>
      <c r="I1299" s="10">
        <v>34680</v>
      </c>
      <c r="J1299" s="10">
        <v>20574</v>
      </c>
      <c r="K1299" s="10">
        <v>28694</v>
      </c>
      <c r="L1299" s="10">
        <v>24332</v>
      </c>
      <c r="M1299" s="10">
        <v>0</v>
      </c>
      <c r="N1299" s="10"/>
      <c r="O1299" s="10"/>
      <c r="P1299" s="10"/>
      <c r="Q1299" s="10"/>
      <c r="R1299" s="10"/>
      <c r="T1299" s="10">
        <f t="shared" si="354"/>
        <v>34680</v>
      </c>
    </row>
    <row r="1300" spans="2:20" x14ac:dyDescent="0.25">
      <c r="B1300" s="97">
        <f t="shared" si="365"/>
        <v>512</v>
      </c>
      <c r="C1300" s="29"/>
      <c r="D1300" s="29"/>
      <c r="E1300" s="29"/>
      <c r="F1300" s="53" t="s">
        <v>546</v>
      </c>
      <c r="G1300" s="125">
        <v>640</v>
      </c>
      <c r="H1300" s="29" t="s">
        <v>315</v>
      </c>
      <c r="I1300" s="15">
        <v>15590</v>
      </c>
      <c r="J1300" s="15">
        <v>11447</v>
      </c>
      <c r="K1300" s="15">
        <v>11447</v>
      </c>
      <c r="L1300" s="15">
        <v>12321</v>
      </c>
      <c r="M1300" s="15">
        <v>0</v>
      </c>
      <c r="N1300" s="15"/>
      <c r="O1300" s="15"/>
      <c r="P1300" s="15"/>
      <c r="Q1300" s="15"/>
      <c r="R1300" s="15"/>
      <c r="T1300" s="15">
        <f t="shared" si="354"/>
        <v>15590</v>
      </c>
    </row>
    <row r="1301" spans="2:20" x14ac:dyDescent="0.25">
      <c r="B1301" s="97">
        <f t="shared" si="365"/>
        <v>513</v>
      </c>
      <c r="C1301" s="29"/>
      <c r="D1301" s="29"/>
      <c r="E1301" s="29"/>
      <c r="F1301" s="53" t="s">
        <v>546</v>
      </c>
      <c r="G1301" s="125">
        <v>630</v>
      </c>
      <c r="H1301" s="29" t="s">
        <v>555</v>
      </c>
      <c r="I1301" s="15">
        <v>0</v>
      </c>
      <c r="J1301" s="15"/>
      <c r="K1301" s="15">
        <v>2600</v>
      </c>
      <c r="L1301" s="15"/>
      <c r="M1301" s="15"/>
      <c r="N1301" s="15"/>
      <c r="O1301" s="15"/>
      <c r="P1301" s="15"/>
      <c r="Q1301" s="15"/>
      <c r="R1301" s="15"/>
      <c r="T1301" s="15">
        <f t="shared" si="354"/>
        <v>0</v>
      </c>
    </row>
    <row r="1302" spans="2:20" x14ac:dyDescent="0.25">
      <c r="B1302" s="97">
        <f t="shared" si="365"/>
        <v>514</v>
      </c>
      <c r="C1302" s="29"/>
      <c r="D1302" s="29"/>
      <c r="E1302" s="29"/>
      <c r="F1302" s="53" t="s">
        <v>551</v>
      </c>
      <c r="G1302" s="125">
        <v>630</v>
      </c>
      <c r="H1302" s="29" t="s">
        <v>303</v>
      </c>
      <c r="I1302" s="15">
        <f>I1303</f>
        <v>0</v>
      </c>
      <c r="J1302" s="15">
        <f t="shared" ref="J1302:M1302" si="368">J1303</f>
        <v>0</v>
      </c>
      <c r="K1302" s="15">
        <f t="shared" si="368"/>
        <v>400</v>
      </c>
      <c r="L1302" s="15">
        <f t="shared" si="368"/>
        <v>0</v>
      </c>
      <c r="M1302" s="15">
        <f t="shared" si="368"/>
        <v>0</v>
      </c>
      <c r="N1302" s="15"/>
      <c r="O1302" s="15"/>
      <c r="P1302" s="15"/>
      <c r="Q1302" s="15"/>
      <c r="R1302" s="15"/>
      <c r="T1302" s="15">
        <f t="shared" si="354"/>
        <v>0</v>
      </c>
    </row>
    <row r="1303" spans="2:20" x14ac:dyDescent="0.25">
      <c r="B1303" s="97">
        <f t="shared" si="365"/>
        <v>515</v>
      </c>
      <c r="C1303" s="9"/>
      <c r="D1303" s="9"/>
      <c r="E1303" s="9"/>
      <c r="F1303" s="54" t="s">
        <v>551</v>
      </c>
      <c r="G1303" s="126">
        <v>633</v>
      </c>
      <c r="H1303" s="9" t="s">
        <v>305</v>
      </c>
      <c r="I1303" s="10">
        <v>0</v>
      </c>
      <c r="J1303" s="10">
        <v>0</v>
      </c>
      <c r="K1303" s="10">
        <v>400</v>
      </c>
      <c r="L1303" s="10">
        <v>0</v>
      </c>
      <c r="M1303" s="10">
        <v>0</v>
      </c>
      <c r="N1303" s="10"/>
      <c r="O1303" s="10"/>
      <c r="P1303" s="10"/>
      <c r="Q1303" s="10"/>
      <c r="R1303" s="10"/>
      <c r="T1303" s="10">
        <f t="shared" si="354"/>
        <v>0</v>
      </c>
    </row>
    <row r="1304" spans="2:20" x14ac:dyDescent="0.25">
      <c r="B1304" s="97">
        <f t="shared" si="365"/>
        <v>516</v>
      </c>
      <c r="C1304" s="29"/>
      <c r="D1304" s="29"/>
      <c r="E1304" s="29"/>
      <c r="F1304" s="53"/>
      <c r="G1304" s="125">
        <v>630</v>
      </c>
      <c r="H1304" s="29" t="s">
        <v>539</v>
      </c>
      <c r="I1304" s="15">
        <v>0</v>
      </c>
      <c r="J1304" s="15"/>
      <c r="K1304" s="15">
        <v>1167</v>
      </c>
      <c r="L1304" s="15"/>
      <c r="M1304" s="15">
        <f>22825+23239</f>
        <v>46064</v>
      </c>
      <c r="N1304" s="15"/>
      <c r="O1304" s="15"/>
      <c r="P1304" s="15"/>
      <c r="Q1304" s="15"/>
      <c r="R1304" s="15"/>
      <c r="T1304" s="15">
        <f t="shared" ref="T1304:T1368" si="369">I1304+N1304</f>
        <v>0</v>
      </c>
    </row>
    <row r="1305" spans="2:20" x14ac:dyDescent="0.25">
      <c r="B1305" s="97">
        <f t="shared" si="365"/>
        <v>517</v>
      </c>
      <c r="C1305" s="29"/>
      <c r="D1305" s="29"/>
      <c r="E1305" s="29"/>
      <c r="F1305" s="53" t="s">
        <v>546</v>
      </c>
      <c r="G1305" s="125">
        <v>710</v>
      </c>
      <c r="H1305" s="29" t="s">
        <v>321</v>
      </c>
      <c r="I1305" s="15"/>
      <c r="J1305" s="15"/>
      <c r="K1305" s="15"/>
      <c r="L1305" s="15"/>
      <c r="M1305" s="15"/>
      <c r="N1305" s="15">
        <f>N1306</f>
        <v>20000</v>
      </c>
      <c r="O1305" s="15"/>
      <c r="P1305" s="15"/>
      <c r="Q1305" s="15"/>
      <c r="R1305" s="15">
        <f t="shared" ref="R1305" si="370">R1306</f>
        <v>2989</v>
      </c>
      <c r="T1305" s="15">
        <f t="shared" si="369"/>
        <v>20000</v>
      </c>
    </row>
    <row r="1306" spans="2:20" x14ac:dyDescent="0.25">
      <c r="B1306" s="97">
        <f t="shared" si="365"/>
        <v>518</v>
      </c>
      <c r="C1306" s="9"/>
      <c r="D1306" s="9"/>
      <c r="E1306" s="9"/>
      <c r="F1306" s="54" t="s">
        <v>546</v>
      </c>
      <c r="G1306" s="126">
        <v>717</v>
      </c>
      <c r="H1306" s="9" t="s">
        <v>327</v>
      </c>
      <c r="I1306" s="10"/>
      <c r="J1306" s="10"/>
      <c r="K1306" s="10"/>
      <c r="L1306" s="10"/>
      <c r="M1306" s="10"/>
      <c r="N1306" s="10">
        <f>N1308</f>
        <v>20000</v>
      </c>
      <c r="O1306" s="10"/>
      <c r="P1306" s="10"/>
      <c r="Q1306" s="10"/>
      <c r="R1306" s="10">
        <f>R1307+R1746</f>
        <v>2989</v>
      </c>
      <c r="T1306" s="10">
        <f t="shared" si="369"/>
        <v>20000</v>
      </c>
    </row>
    <row r="1307" spans="2:20" x14ac:dyDescent="0.25">
      <c r="B1307" s="97">
        <f t="shared" si="365"/>
        <v>519</v>
      </c>
      <c r="C1307" s="12"/>
      <c r="D1307" s="12"/>
      <c r="E1307" s="12"/>
      <c r="F1307" s="12"/>
      <c r="G1307" s="127"/>
      <c r="H1307" s="12" t="s">
        <v>548</v>
      </c>
      <c r="I1307" s="13"/>
      <c r="J1307" s="13"/>
      <c r="K1307" s="13"/>
      <c r="L1307" s="13"/>
      <c r="M1307" s="13"/>
      <c r="N1307" s="13"/>
      <c r="O1307" s="13"/>
      <c r="P1307" s="13"/>
      <c r="Q1307" s="13"/>
      <c r="R1307" s="13">
        <v>2989</v>
      </c>
      <c r="T1307" s="13">
        <f t="shared" si="369"/>
        <v>0</v>
      </c>
    </row>
    <row r="1308" spans="2:20" x14ac:dyDescent="0.25">
      <c r="B1308" s="97">
        <f t="shared" si="365"/>
        <v>520</v>
      </c>
      <c r="C1308" s="12"/>
      <c r="D1308" s="12"/>
      <c r="E1308" s="12"/>
      <c r="F1308" s="12"/>
      <c r="G1308" s="127"/>
      <c r="H1308" s="12" t="s">
        <v>944</v>
      </c>
      <c r="I1308" s="13"/>
      <c r="J1308" s="13"/>
      <c r="K1308" s="13"/>
      <c r="L1308" s="13"/>
      <c r="M1308" s="13"/>
      <c r="N1308" s="13">
        <v>20000</v>
      </c>
      <c r="O1308" s="13"/>
      <c r="P1308" s="13"/>
      <c r="Q1308" s="13"/>
      <c r="R1308" s="13"/>
      <c r="T1308" s="13">
        <f t="shared" si="369"/>
        <v>20000</v>
      </c>
    </row>
    <row r="1309" spans="2:20" x14ac:dyDescent="0.25">
      <c r="B1309" s="97">
        <f t="shared" si="365"/>
        <v>521</v>
      </c>
      <c r="C1309" s="49"/>
      <c r="D1309" s="49"/>
      <c r="E1309" s="49">
        <v>13</v>
      </c>
      <c r="F1309" s="49"/>
      <c r="G1309" s="123"/>
      <c r="H1309" s="49" t="s">
        <v>191</v>
      </c>
      <c r="I1309" s="50">
        <f>I1310</f>
        <v>431652</v>
      </c>
      <c r="J1309" s="50">
        <f t="shared" ref="J1309:M1309" si="371">J1310</f>
        <v>399508</v>
      </c>
      <c r="K1309" s="50">
        <f t="shared" si="371"/>
        <v>406388</v>
      </c>
      <c r="L1309" s="50">
        <f t="shared" si="371"/>
        <v>377190</v>
      </c>
      <c r="M1309" s="50">
        <f t="shared" si="371"/>
        <v>355765</v>
      </c>
      <c r="N1309" s="50">
        <f>N1333</f>
        <v>226902</v>
      </c>
      <c r="O1309" s="50">
        <f t="shared" ref="O1309:R1309" si="372">O1333</f>
        <v>0</v>
      </c>
      <c r="P1309" s="50">
        <f t="shared" si="372"/>
        <v>167000</v>
      </c>
      <c r="Q1309" s="50">
        <f t="shared" si="372"/>
        <v>0</v>
      </c>
      <c r="R1309" s="50">
        <f t="shared" si="372"/>
        <v>0</v>
      </c>
      <c r="T1309" s="50">
        <f t="shared" si="369"/>
        <v>658554</v>
      </c>
    </row>
    <row r="1310" spans="2:20" ht="15" hidden="1" customHeight="1" x14ac:dyDescent="0.25">
      <c r="B1310" s="97">
        <f t="shared" si="365"/>
        <v>522</v>
      </c>
      <c r="C1310" s="51"/>
      <c r="D1310" s="51"/>
      <c r="E1310" s="51" t="s">
        <v>60</v>
      </c>
      <c r="F1310" s="51"/>
      <c r="G1310" s="124"/>
      <c r="H1310" s="51"/>
      <c r="I1310" s="52">
        <f>I1311+I1312+I1313+I1319+I1320+I1321+I1322+I1329+I1330+I1332</f>
        <v>431652</v>
      </c>
      <c r="J1310" s="52">
        <f>J1330+J1329+J1322+J1321+J1320+J1319+J1313+J1312+J1311</f>
        <v>399508</v>
      </c>
      <c r="K1310" s="52">
        <f>K1330+K1329+K1322+K1321+K1320+K1319+K1313+K1312+K1311+K1332</f>
        <v>406388</v>
      </c>
      <c r="L1310" s="52">
        <f>L1330+L1329+L1322+L1321+L1320+L1319+L1313+L1312+L1311+L1332</f>
        <v>377190</v>
      </c>
      <c r="M1310" s="52">
        <f>M1330+M1329+M1322+M1321+M1320+M1319+M1313+M1312+M1311+M1332</f>
        <v>355765</v>
      </c>
      <c r="N1310" s="52"/>
      <c r="O1310" s="52">
        <v>0</v>
      </c>
      <c r="P1310" s="52">
        <v>0</v>
      </c>
      <c r="Q1310" s="52">
        <v>0</v>
      </c>
      <c r="R1310" s="52">
        <v>0</v>
      </c>
      <c r="T1310" s="52">
        <f t="shared" si="369"/>
        <v>431652</v>
      </c>
    </row>
    <row r="1311" spans="2:20" x14ac:dyDescent="0.25">
      <c r="B1311" s="97">
        <f t="shared" si="365"/>
        <v>523</v>
      </c>
      <c r="C1311" s="29"/>
      <c r="D1311" s="29"/>
      <c r="E1311" s="29"/>
      <c r="F1311" s="53" t="s">
        <v>543</v>
      </c>
      <c r="G1311" s="125">
        <v>610</v>
      </c>
      <c r="H1311" s="29" t="s">
        <v>338</v>
      </c>
      <c r="I1311" s="15">
        <v>95785</v>
      </c>
      <c r="J1311" s="15">
        <v>90412</v>
      </c>
      <c r="K1311" s="15">
        <v>90412</v>
      </c>
      <c r="L1311" s="15">
        <v>83886</v>
      </c>
      <c r="M1311" s="15">
        <v>209066</v>
      </c>
      <c r="N1311" s="15"/>
      <c r="O1311" s="15"/>
      <c r="P1311" s="15"/>
      <c r="Q1311" s="15"/>
      <c r="R1311" s="15"/>
      <c r="T1311" s="15">
        <f t="shared" si="369"/>
        <v>95785</v>
      </c>
    </row>
    <row r="1312" spans="2:20" x14ac:dyDescent="0.25">
      <c r="B1312" s="97">
        <f t="shared" si="365"/>
        <v>524</v>
      </c>
      <c r="C1312" s="29"/>
      <c r="D1312" s="29"/>
      <c r="E1312" s="29"/>
      <c r="F1312" s="53" t="s">
        <v>543</v>
      </c>
      <c r="G1312" s="125">
        <v>620</v>
      </c>
      <c r="H1312" s="29" t="s">
        <v>313</v>
      </c>
      <c r="I1312" s="15">
        <v>33471</v>
      </c>
      <c r="J1312" s="15">
        <v>31593</v>
      </c>
      <c r="K1312" s="15">
        <v>31593</v>
      </c>
      <c r="L1312" s="15">
        <v>31420</v>
      </c>
      <c r="M1312" s="15">
        <v>74800</v>
      </c>
      <c r="N1312" s="15"/>
      <c r="O1312" s="15"/>
      <c r="P1312" s="15"/>
      <c r="Q1312" s="15"/>
      <c r="R1312" s="15"/>
      <c r="T1312" s="15">
        <f t="shared" si="369"/>
        <v>33471</v>
      </c>
    </row>
    <row r="1313" spans="2:20" x14ac:dyDescent="0.25">
      <c r="B1313" s="97">
        <f t="shared" si="365"/>
        <v>525</v>
      </c>
      <c r="C1313" s="29"/>
      <c r="D1313" s="29"/>
      <c r="E1313" s="29"/>
      <c r="F1313" s="53" t="s">
        <v>543</v>
      </c>
      <c r="G1313" s="125">
        <v>630</v>
      </c>
      <c r="H1313" s="29" t="s">
        <v>303</v>
      </c>
      <c r="I1313" s="15">
        <f>I1314+I1315+I1316+I1317+I1318</f>
        <v>29923</v>
      </c>
      <c r="J1313" s="15">
        <f t="shared" ref="J1313:M1313" si="373">J1318+J1317+J1316+J1315+J1314</f>
        <v>28402</v>
      </c>
      <c r="K1313" s="15">
        <f t="shared" si="373"/>
        <v>28402</v>
      </c>
      <c r="L1313" s="15">
        <f t="shared" si="373"/>
        <v>24521</v>
      </c>
      <c r="M1313" s="15">
        <f t="shared" si="373"/>
        <v>59840</v>
      </c>
      <c r="N1313" s="15"/>
      <c r="O1313" s="15"/>
      <c r="P1313" s="15"/>
      <c r="Q1313" s="15"/>
      <c r="R1313" s="15"/>
      <c r="T1313" s="15">
        <f t="shared" si="369"/>
        <v>29923</v>
      </c>
    </row>
    <row r="1314" spans="2:20" x14ac:dyDescent="0.25">
      <c r="B1314" s="97">
        <f t="shared" si="365"/>
        <v>526</v>
      </c>
      <c r="C1314" s="9"/>
      <c r="D1314" s="9"/>
      <c r="E1314" s="9"/>
      <c r="F1314" s="54" t="s">
        <v>543</v>
      </c>
      <c r="G1314" s="126">
        <v>631</v>
      </c>
      <c r="H1314" s="9" t="s">
        <v>304</v>
      </c>
      <c r="I1314" s="10">
        <v>0</v>
      </c>
      <c r="J1314" s="10">
        <v>15</v>
      </c>
      <c r="K1314" s="10">
        <v>15</v>
      </c>
      <c r="L1314" s="10">
        <v>27</v>
      </c>
      <c r="M1314" s="10">
        <v>49</v>
      </c>
      <c r="N1314" s="10"/>
      <c r="O1314" s="10"/>
      <c r="P1314" s="10"/>
      <c r="Q1314" s="10"/>
      <c r="R1314" s="10"/>
      <c r="T1314" s="10">
        <f t="shared" si="369"/>
        <v>0</v>
      </c>
    </row>
    <row r="1315" spans="2:20" x14ac:dyDescent="0.25">
      <c r="B1315" s="97">
        <f t="shared" si="365"/>
        <v>527</v>
      </c>
      <c r="C1315" s="9"/>
      <c r="D1315" s="9"/>
      <c r="E1315" s="9"/>
      <c r="F1315" s="54" t="s">
        <v>543</v>
      </c>
      <c r="G1315" s="126">
        <v>632</v>
      </c>
      <c r="H1315" s="9" t="s">
        <v>314</v>
      </c>
      <c r="I1315" s="10">
        <v>22142</v>
      </c>
      <c r="J1315" s="10">
        <v>20996</v>
      </c>
      <c r="K1315" s="10">
        <v>20996</v>
      </c>
      <c r="L1315" s="10">
        <v>18092</v>
      </c>
      <c r="M1315" s="10">
        <v>32987</v>
      </c>
      <c r="N1315" s="10"/>
      <c r="O1315" s="10"/>
      <c r="P1315" s="10"/>
      <c r="Q1315" s="10"/>
      <c r="R1315" s="10"/>
      <c r="T1315" s="10">
        <f t="shared" si="369"/>
        <v>22142</v>
      </c>
    </row>
    <row r="1316" spans="2:20" x14ac:dyDescent="0.25">
      <c r="B1316" s="97">
        <f t="shared" si="365"/>
        <v>528</v>
      </c>
      <c r="C1316" s="9"/>
      <c r="D1316" s="9"/>
      <c r="E1316" s="9"/>
      <c r="F1316" s="54" t="s">
        <v>543</v>
      </c>
      <c r="G1316" s="126">
        <v>633</v>
      </c>
      <c r="H1316" s="9" t="s">
        <v>305</v>
      </c>
      <c r="I1316" s="10">
        <v>2251</v>
      </c>
      <c r="J1316" s="10">
        <v>2173</v>
      </c>
      <c r="K1316" s="10">
        <v>2173</v>
      </c>
      <c r="L1316" s="10">
        <v>1555</v>
      </c>
      <c r="M1316" s="10">
        <v>9631</v>
      </c>
      <c r="N1316" s="10"/>
      <c r="O1316" s="10"/>
      <c r="P1316" s="10"/>
      <c r="Q1316" s="10"/>
      <c r="R1316" s="10"/>
      <c r="T1316" s="10">
        <f t="shared" si="369"/>
        <v>2251</v>
      </c>
    </row>
    <row r="1317" spans="2:20" x14ac:dyDescent="0.25">
      <c r="B1317" s="97">
        <f t="shared" si="365"/>
        <v>529</v>
      </c>
      <c r="C1317" s="9"/>
      <c r="D1317" s="9"/>
      <c r="E1317" s="9"/>
      <c r="F1317" s="54" t="s">
        <v>543</v>
      </c>
      <c r="G1317" s="126">
        <v>635</v>
      </c>
      <c r="H1317" s="9" t="s">
        <v>320</v>
      </c>
      <c r="I1317" s="10">
        <v>600</v>
      </c>
      <c r="J1317" s="10">
        <v>566</v>
      </c>
      <c r="K1317" s="10">
        <v>566</v>
      </c>
      <c r="L1317" s="10">
        <v>273</v>
      </c>
      <c r="M1317" s="10">
        <v>4772</v>
      </c>
      <c r="N1317" s="10"/>
      <c r="O1317" s="10"/>
      <c r="P1317" s="10"/>
      <c r="Q1317" s="10"/>
      <c r="R1317" s="10"/>
      <c r="T1317" s="10">
        <f t="shared" si="369"/>
        <v>600</v>
      </c>
    </row>
    <row r="1318" spans="2:20" x14ac:dyDescent="0.25">
      <c r="B1318" s="97">
        <f t="shared" si="365"/>
        <v>530</v>
      </c>
      <c r="C1318" s="9"/>
      <c r="D1318" s="9"/>
      <c r="E1318" s="9"/>
      <c r="F1318" s="54" t="s">
        <v>543</v>
      </c>
      <c r="G1318" s="126">
        <v>637</v>
      </c>
      <c r="H1318" s="9" t="s">
        <v>308</v>
      </c>
      <c r="I1318" s="10">
        <v>4930</v>
      </c>
      <c r="J1318" s="10">
        <v>4652</v>
      </c>
      <c r="K1318" s="10">
        <v>4652</v>
      </c>
      <c r="L1318" s="10">
        <v>4574</v>
      </c>
      <c r="M1318" s="10">
        <v>12401</v>
      </c>
      <c r="N1318" s="10"/>
      <c r="O1318" s="10"/>
      <c r="P1318" s="10"/>
      <c r="Q1318" s="10"/>
      <c r="R1318" s="10"/>
      <c r="T1318" s="10">
        <f t="shared" si="369"/>
        <v>4930</v>
      </c>
    </row>
    <row r="1319" spans="2:20" x14ac:dyDescent="0.25">
      <c r="B1319" s="97">
        <f t="shared" si="365"/>
        <v>531</v>
      </c>
      <c r="C1319" s="29"/>
      <c r="D1319" s="29"/>
      <c r="E1319" s="29"/>
      <c r="F1319" s="53" t="s">
        <v>543</v>
      </c>
      <c r="G1319" s="125">
        <v>640</v>
      </c>
      <c r="H1319" s="29" t="s">
        <v>315</v>
      </c>
      <c r="I1319" s="15">
        <v>160</v>
      </c>
      <c r="J1319" s="15">
        <v>160</v>
      </c>
      <c r="K1319" s="15">
        <v>160</v>
      </c>
      <c r="L1319" s="15">
        <v>670</v>
      </c>
      <c r="M1319" s="15">
        <f>600+2284</f>
        <v>2884</v>
      </c>
      <c r="N1319" s="15"/>
      <c r="O1319" s="15"/>
      <c r="P1319" s="15"/>
      <c r="Q1319" s="15"/>
      <c r="R1319" s="15"/>
      <c r="T1319" s="15">
        <f t="shared" si="369"/>
        <v>160</v>
      </c>
    </row>
    <row r="1320" spans="2:20" x14ac:dyDescent="0.25">
      <c r="B1320" s="97">
        <f t="shared" si="365"/>
        <v>532</v>
      </c>
      <c r="C1320" s="29"/>
      <c r="D1320" s="29"/>
      <c r="E1320" s="29"/>
      <c r="F1320" s="53" t="s">
        <v>546</v>
      </c>
      <c r="G1320" s="125">
        <v>610</v>
      </c>
      <c r="H1320" s="29" t="s">
        <v>338</v>
      </c>
      <c r="I1320" s="15">
        <v>147407</v>
      </c>
      <c r="J1320" s="15">
        <v>139144</v>
      </c>
      <c r="K1320" s="15">
        <v>139144</v>
      </c>
      <c r="L1320" s="15">
        <v>135241</v>
      </c>
      <c r="M1320" s="15">
        <v>0</v>
      </c>
      <c r="N1320" s="15"/>
      <c r="O1320" s="15"/>
      <c r="P1320" s="15"/>
      <c r="Q1320" s="15"/>
      <c r="R1320" s="15"/>
      <c r="T1320" s="15">
        <f t="shared" si="369"/>
        <v>147407</v>
      </c>
    </row>
    <row r="1321" spans="2:20" x14ac:dyDescent="0.25">
      <c r="B1321" s="97">
        <f t="shared" si="365"/>
        <v>533</v>
      </c>
      <c r="C1321" s="29"/>
      <c r="D1321" s="29"/>
      <c r="E1321" s="29"/>
      <c r="F1321" s="53" t="s">
        <v>546</v>
      </c>
      <c r="G1321" s="125">
        <v>620</v>
      </c>
      <c r="H1321" s="29" t="s">
        <v>313</v>
      </c>
      <c r="I1321" s="15">
        <v>51526</v>
      </c>
      <c r="J1321" s="15">
        <v>48638</v>
      </c>
      <c r="K1321" s="15">
        <v>48638</v>
      </c>
      <c r="L1321" s="15">
        <v>46608</v>
      </c>
      <c r="M1321" s="15">
        <v>0</v>
      </c>
      <c r="N1321" s="15"/>
      <c r="O1321" s="15"/>
      <c r="P1321" s="15"/>
      <c r="Q1321" s="15"/>
      <c r="R1321" s="15"/>
      <c r="T1321" s="15">
        <f t="shared" si="369"/>
        <v>51526</v>
      </c>
    </row>
    <row r="1322" spans="2:20" x14ac:dyDescent="0.25">
      <c r="B1322" s="97">
        <f t="shared" si="365"/>
        <v>534</v>
      </c>
      <c r="C1322" s="29"/>
      <c r="D1322" s="29"/>
      <c r="E1322" s="29"/>
      <c r="F1322" s="53" t="s">
        <v>546</v>
      </c>
      <c r="G1322" s="125">
        <v>630</v>
      </c>
      <c r="H1322" s="29" t="s">
        <v>303</v>
      </c>
      <c r="I1322" s="15">
        <f>SUM(I1323:I1328)</f>
        <v>73140</v>
      </c>
      <c r="J1322" s="15">
        <f t="shared" ref="J1322:M1322" si="374">SUM(J1323:J1328)</f>
        <v>60919</v>
      </c>
      <c r="K1322" s="15">
        <f t="shared" si="374"/>
        <v>67545</v>
      </c>
      <c r="L1322" s="15">
        <f t="shared" si="374"/>
        <v>53631</v>
      </c>
      <c r="M1322" s="15">
        <f t="shared" si="374"/>
        <v>0</v>
      </c>
      <c r="N1322" s="15"/>
      <c r="O1322" s="15"/>
      <c r="P1322" s="15"/>
      <c r="Q1322" s="15"/>
      <c r="R1322" s="15"/>
      <c r="T1322" s="15">
        <f t="shared" si="369"/>
        <v>73140</v>
      </c>
    </row>
    <row r="1323" spans="2:20" x14ac:dyDescent="0.25">
      <c r="B1323" s="97">
        <f t="shared" si="365"/>
        <v>535</v>
      </c>
      <c r="C1323" s="9"/>
      <c r="D1323" s="9"/>
      <c r="E1323" s="9"/>
      <c r="F1323" s="54" t="s">
        <v>546</v>
      </c>
      <c r="G1323" s="126">
        <v>631</v>
      </c>
      <c r="H1323" s="9" t="s">
        <v>304</v>
      </c>
      <c r="I1323" s="10">
        <v>15</v>
      </c>
      <c r="J1323" s="10">
        <v>15</v>
      </c>
      <c r="K1323" s="10">
        <v>15</v>
      </c>
      <c r="L1323" s="10">
        <v>115</v>
      </c>
      <c r="M1323" s="10">
        <v>0</v>
      </c>
      <c r="N1323" s="10"/>
      <c r="O1323" s="10"/>
      <c r="P1323" s="10"/>
      <c r="Q1323" s="10"/>
      <c r="R1323" s="10"/>
      <c r="T1323" s="10">
        <f t="shared" si="369"/>
        <v>15</v>
      </c>
    </row>
    <row r="1324" spans="2:20" x14ac:dyDescent="0.25">
      <c r="B1324" s="97">
        <f t="shared" si="365"/>
        <v>536</v>
      </c>
      <c r="C1324" s="9"/>
      <c r="D1324" s="9"/>
      <c r="E1324" s="9"/>
      <c r="F1324" s="54" t="s">
        <v>546</v>
      </c>
      <c r="G1324" s="126">
        <v>632</v>
      </c>
      <c r="H1324" s="9" t="s">
        <v>314</v>
      </c>
      <c r="I1324" s="10">
        <v>28630</v>
      </c>
      <c r="J1324" s="10">
        <v>25642</v>
      </c>
      <c r="K1324" s="10">
        <v>27642</v>
      </c>
      <c r="L1324" s="10">
        <v>24089</v>
      </c>
      <c r="M1324" s="10">
        <v>0</v>
      </c>
      <c r="N1324" s="10"/>
      <c r="O1324" s="10"/>
      <c r="P1324" s="10"/>
      <c r="Q1324" s="10"/>
      <c r="R1324" s="10"/>
      <c r="T1324" s="10">
        <f t="shared" si="369"/>
        <v>28630</v>
      </c>
    </row>
    <row r="1325" spans="2:20" x14ac:dyDescent="0.25">
      <c r="B1325" s="97">
        <f t="shared" si="365"/>
        <v>537</v>
      </c>
      <c r="C1325" s="9"/>
      <c r="D1325" s="9"/>
      <c r="E1325" s="9"/>
      <c r="F1325" s="54" t="s">
        <v>546</v>
      </c>
      <c r="G1325" s="126">
        <v>633</v>
      </c>
      <c r="H1325" s="9" t="s">
        <v>305</v>
      </c>
      <c r="I1325" s="10">
        <v>6325</v>
      </c>
      <c r="J1325" s="10">
        <v>5336</v>
      </c>
      <c r="K1325" s="10">
        <v>5662</v>
      </c>
      <c r="L1325" s="10">
        <v>4283</v>
      </c>
      <c r="M1325" s="10">
        <v>0</v>
      </c>
      <c r="N1325" s="10"/>
      <c r="O1325" s="10"/>
      <c r="P1325" s="10"/>
      <c r="Q1325" s="10"/>
      <c r="R1325" s="10"/>
      <c r="T1325" s="10">
        <f t="shared" si="369"/>
        <v>6325</v>
      </c>
    </row>
    <row r="1326" spans="2:20" x14ac:dyDescent="0.25">
      <c r="B1326" s="97">
        <f t="shared" si="365"/>
        <v>538</v>
      </c>
      <c r="C1326" s="9"/>
      <c r="D1326" s="9"/>
      <c r="E1326" s="9"/>
      <c r="F1326" s="54" t="s">
        <v>546</v>
      </c>
      <c r="G1326" s="126">
        <v>634</v>
      </c>
      <c r="H1326" s="9" t="s">
        <v>306</v>
      </c>
      <c r="I1326" s="10">
        <v>0</v>
      </c>
      <c r="J1326" s="10">
        <v>0</v>
      </c>
      <c r="K1326" s="10">
        <v>840</v>
      </c>
      <c r="L1326" s="10">
        <v>0</v>
      </c>
      <c r="M1326" s="10">
        <v>0</v>
      </c>
      <c r="N1326" s="10"/>
      <c r="O1326" s="10"/>
      <c r="P1326" s="10"/>
      <c r="Q1326" s="10"/>
      <c r="R1326" s="10"/>
      <c r="T1326" s="10">
        <f t="shared" si="369"/>
        <v>0</v>
      </c>
    </row>
    <row r="1327" spans="2:20" x14ac:dyDescent="0.25">
      <c r="B1327" s="97">
        <f t="shared" si="365"/>
        <v>539</v>
      </c>
      <c r="C1327" s="9"/>
      <c r="D1327" s="9"/>
      <c r="E1327" s="9"/>
      <c r="F1327" s="54" t="s">
        <v>546</v>
      </c>
      <c r="G1327" s="126">
        <v>635</v>
      </c>
      <c r="H1327" s="9" t="s">
        <v>320</v>
      </c>
      <c r="I1327" s="10">
        <v>23800</v>
      </c>
      <c r="J1327" s="10">
        <v>23766</v>
      </c>
      <c r="K1327" s="10">
        <v>23766</v>
      </c>
      <c r="L1327" s="10">
        <v>19467</v>
      </c>
      <c r="M1327" s="10">
        <v>0</v>
      </c>
      <c r="N1327" s="10"/>
      <c r="O1327" s="10"/>
      <c r="P1327" s="10"/>
      <c r="Q1327" s="10"/>
      <c r="R1327" s="10"/>
      <c r="T1327" s="10">
        <f t="shared" si="369"/>
        <v>23800</v>
      </c>
    </row>
    <row r="1328" spans="2:20" x14ac:dyDescent="0.25">
      <c r="B1328" s="97">
        <f t="shared" si="365"/>
        <v>540</v>
      </c>
      <c r="C1328" s="9"/>
      <c r="D1328" s="9"/>
      <c r="E1328" s="9"/>
      <c r="F1328" s="54" t="s">
        <v>546</v>
      </c>
      <c r="G1328" s="126">
        <v>637</v>
      </c>
      <c r="H1328" s="9" t="s">
        <v>308</v>
      </c>
      <c r="I1328" s="10">
        <v>14370</v>
      </c>
      <c r="J1328" s="10">
        <v>6160</v>
      </c>
      <c r="K1328" s="10">
        <v>9620</v>
      </c>
      <c r="L1328" s="10">
        <v>5677</v>
      </c>
      <c r="M1328" s="10">
        <v>0</v>
      </c>
      <c r="N1328" s="10"/>
      <c r="O1328" s="10"/>
      <c r="P1328" s="10"/>
      <c r="Q1328" s="10"/>
      <c r="R1328" s="10"/>
      <c r="T1328" s="10">
        <f t="shared" si="369"/>
        <v>14370</v>
      </c>
    </row>
    <row r="1329" spans="2:20" x14ac:dyDescent="0.25">
      <c r="B1329" s="97">
        <f t="shared" si="365"/>
        <v>541</v>
      </c>
      <c r="C1329" s="29"/>
      <c r="D1329" s="29"/>
      <c r="E1329" s="29"/>
      <c r="F1329" s="53" t="s">
        <v>546</v>
      </c>
      <c r="G1329" s="125">
        <v>640</v>
      </c>
      <c r="H1329" s="29" t="s">
        <v>315</v>
      </c>
      <c r="I1329" s="15">
        <v>240</v>
      </c>
      <c r="J1329" s="15">
        <v>240</v>
      </c>
      <c r="K1329" s="15">
        <v>240</v>
      </c>
      <c r="L1329" s="15">
        <v>0</v>
      </c>
      <c r="M1329" s="15">
        <v>0</v>
      </c>
      <c r="N1329" s="15"/>
      <c r="O1329" s="15"/>
      <c r="P1329" s="15"/>
      <c r="Q1329" s="15"/>
      <c r="R1329" s="15"/>
      <c r="T1329" s="15">
        <f t="shared" si="369"/>
        <v>240</v>
      </c>
    </row>
    <row r="1330" spans="2:20" x14ac:dyDescent="0.25">
      <c r="B1330" s="97">
        <f t="shared" si="365"/>
        <v>542</v>
      </c>
      <c r="C1330" s="29"/>
      <c r="D1330" s="29"/>
      <c r="E1330" s="29"/>
      <c r="F1330" s="53" t="s">
        <v>551</v>
      </c>
      <c r="G1330" s="125">
        <v>630</v>
      </c>
      <c r="H1330" s="29" t="s">
        <v>303</v>
      </c>
      <c r="I1330" s="15">
        <f>I1331</f>
        <v>0</v>
      </c>
      <c r="J1330" s="15">
        <f t="shared" ref="J1330:M1330" si="375">J1331</f>
        <v>0</v>
      </c>
      <c r="K1330" s="15">
        <f t="shared" si="375"/>
        <v>166</v>
      </c>
      <c r="L1330" s="15">
        <f t="shared" si="375"/>
        <v>1213</v>
      </c>
      <c r="M1330" s="15">
        <f t="shared" si="375"/>
        <v>0</v>
      </c>
      <c r="N1330" s="15"/>
      <c r="O1330" s="15"/>
      <c r="P1330" s="15"/>
      <c r="Q1330" s="15"/>
      <c r="R1330" s="15"/>
      <c r="T1330" s="15">
        <f t="shared" si="369"/>
        <v>0</v>
      </c>
    </row>
    <row r="1331" spans="2:20" x14ac:dyDescent="0.25">
      <c r="B1331" s="97">
        <f t="shared" si="365"/>
        <v>543</v>
      </c>
      <c r="C1331" s="9"/>
      <c r="D1331" s="9"/>
      <c r="E1331" s="9"/>
      <c r="F1331" s="54" t="s">
        <v>551</v>
      </c>
      <c r="G1331" s="126">
        <v>633</v>
      </c>
      <c r="H1331" s="9" t="s">
        <v>305</v>
      </c>
      <c r="I1331" s="10">
        <v>0</v>
      </c>
      <c r="J1331" s="10">
        <v>0</v>
      </c>
      <c r="K1331" s="10">
        <v>166</v>
      </c>
      <c r="L1331" s="10">
        <v>1213</v>
      </c>
      <c r="M1331" s="10">
        <v>0</v>
      </c>
      <c r="N1331" s="10"/>
      <c r="O1331" s="10"/>
      <c r="P1331" s="10"/>
      <c r="Q1331" s="10"/>
      <c r="R1331" s="10"/>
      <c r="T1331" s="10">
        <f t="shared" si="369"/>
        <v>0</v>
      </c>
    </row>
    <row r="1332" spans="2:20" x14ac:dyDescent="0.25">
      <c r="B1332" s="97">
        <f t="shared" si="365"/>
        <v>544</v>
      </c>
      <c r="C1332" s="9"/>
      <c r="D1332" s="9"/>
      <c r="E1332" s="9"/>
      <c r="F1332" s="54"/>
      <c r="G1332" s="125">
        <v>630</v>
      </c>
      <c r="H1332" s="29" t="s">
        <v>539</v>
      </c>
      <c r="I1332" s="10">
        <v>0</v>
      </c>
      <c r="J1332" s="10"/>
      <c r="K1332" s="8">
        <v>88</v>
      </c>
      <c r="L1332" s="10"/>
      <c r="M1332" s="8">
        <v>9175</v>
      </c>
      <c r="N1332" s="10"/>
      <c r="O1332" s="10"/>
      <c r="P1332" s="10"/>
      <c r="Q1332" s="10"/>
      <c r="R1332" s="10"/>
      <c r="T1332" s="10">
        <f t="shared" si="369"/>
        <v>0</v>
      </c>
    </row>
    <row r="1333" spans="2:20" x14ac:dyDescent="0.25">
      <c r="B1333" s="97">
        <f t="shared" si="365"/>
        <v>545</v>
      </c>
      <c r="C1333" s="29"/>
      <c r="D1333" s="29"/>
      <c r="E1333" s="29"/>
      <c r="F1333" s="53" t="s">
        <v>546</v>
      </c>
      <c r="G1333" s="125">
        <v>710</v>
      </c>
      <c r="H1333" s="29" t="s">
        <v>321</v>
      </c>
      <c r="I1333" s="15"/>
      <c r="J1333" s="15"/>
      <c r="K1333" s="15"/>
      <c r="L1333" s="15"/>
      <c r="M1333" s="15"/>
      <c r="N1333" s="15">
        <f>N1334+N1337</f>
        <v>226902</v>
      </c>
      <c r="O1333" s="15"/>
      <c r="P1333" s="15">
        <f t="shared" ref="P1333" si="376">P1334+P1337</f>
        <v>167000</v>
      </c>
      <c r="Q1333" s="15"/>
      <c r="R1333" s="15"/>
      <c r="T1333" s="15">
        <f t="shared" si="369"/>
        <v>226902</v>
      </c>
    </row>
    <row r="1334" spans="2:20" x14ac:dyDescent="0.25">
      <c r="B1334" s="97">
        <f t="shared" si="365"/>
        <v>546</v>
      </c>
      <c r="C1334" s="9"/>
      <c r="D1334" s="9"/>
      <c r="E1334" s="9"/>
      <c r="F1334" s="55" t="s">
        <v>546</v>
      </c>
      <c r="G1334" s="126">
        <v>716</v>
      </c>
      <c r="H1334" s="9" t="s">
        <v>323</v>
      </c>
      <c r="I1334" s="15"/>
      <c r="J1334" s="15"/>
      <c r="K1334" s="15"/>
      <c r="L1334" s="15"/>
      <c r="M1334" s="15"/>
      <c r="N1334" s="16"/>
      <c r="O1334" s="16"/>
      <c r="P1334" s="16">
        <f t="shared" ref="P1334" si="377">P1335+P1336</f>
        <v>3098</v>
      </c>
      <c r="Q1334" s="16"/>
      <c r="R1334" s="16"/>
      <c r="T1334" s="16">
        <f t="shared" si="369"/>
        <v>0</v>
      </c>
    </row>
    <row r="1335" spans="2:20" x14ac:dyDescent="0.25">
      <c r="B1335" s="97">
        <f t="shared" si="365"/>
        <v>547</v>
      </c>
      <c r="C1335" s="12"/>
      <c r="D1335" s="12"/>
      <c r="E1335" s="12"/>
      <c r="F1335" s="12"/>
      <c r="G1335" s="127"/>
      <c r="H1335" s="12" t="s">
        <v>883</v>
      </c>
      <c r="I1335" s="13"/>
      <c r="J1335" s="13"/>
      <c r="K1335" s="13"/>
      <c r="L1335" s="13"/>
      <c r="M1335" s="13"/>
      <c r="N1335" s="13"/>
      <c r="O1335" s="13"/>
      <c r="P1335" s="13">
        <v>598</v>
      </c>
      <c r="Q1335" s="13"/>
      <c r="R1335" s="13"/>
      <c r="T1335" s="13">
        <f t="shared" si="369"/>
        <v>0</v>
      </c>
    </row>
    <row r="1336" spans="2:20" x14ac:dyDescent="0.25">
      <c r="B1336" s="97">
        <f t="shared" si="365"/>
        <v>548</v>
      </c>
      <c r="C1336" s="12"/>
      <c r="D1336" s="12"/>
      <c r="E1336" s="12"/>
      <c r="F1336" s="12"/>
      <c r="G1336" s="127"/>
      <c r="H1336" s="12" t="s">
        <v>886</v>
      </c>
      <c r="I1336" s="13"/>
      <c r="J1336" s="13"/>
      <c r="K1336" s="13"/>
      <c r="L1336" s="13"/>
      <c r="M1336" s="13"/>
      <c r="N1336" s="13"/>
      <c r="O1336" s="13"/>
      <c r="P1336" s="13">
        <v>2500</v>
      </c>
      <c r="Q1336" s="13"/>
      <c r="R1336" s="13"/>
      <c r="T1336" s="13">
        <f t="shared" si="369"/>
        <v>0</v>
      </c>
    </row>
    <row r="1337" spans="2:20" x14ac:dyDescent="0.25">
      <c r="B1337" s="97">
        <f t="shared" si="365"/>
        <v>549</v>
      </c>
      <c r="C1337" s="9"/>
      <c r="D1337" s="9"/>
      <c r="E1337" s="9"/>
      <c r="F1337" s="54" t="s">
        <v>546</v>
      </c>
      <c r="G1337" s="126">
        <v>717</v>
      </c>
      <c r="H1337" s="9" t="s">
        <v>327</v>
      </c>
      <c r="I1337" s="10"/>
      <c r="J1337" s="10"/>
      <c r="K1337" s="10"/>
      <c r="L1337" s="10"/>
      <c r="M1337" s="10"/>
      <c r="N1337" s="10">
        <f>SUM(N1338:N1340)</f>
        <v>226902</v>
      </c>
      <c r="O1337" s="10"/>
      <c r="P1337" s="10">
        <f t="shared" ref="P1337" si="378">SUM(P1338:P1340)</f>
        <v>163902</v>
      </c>
      <c r="Q1337" s="10"/>
      <c r="R1337" s="10"/>
      <c r="T1337" s="10">
        <f t="shared" si="369"/>
        <v>226902</v>
      </c>
    </row>
    <row r="1338" spans="2:20" x14ac:dyDescent="0.25">
      <c r="B1338" s="97">
        <f t="shared" si="365"/>
        <v>550</v>
      </c>
      <c r="C1338" s="12"/>
      <c r="D1338" s="12"/>
      <c r="E1338" s="12"/>
      <c r="F1338" s="12"/>
      <c r="G1338" s="127"/>
      <c r="H1338" s="12" t="s">
        <v>884</v>
      </c>
      <c r="I1338" s="13"/>
      <c r="J1338" s="13"/>
      <c r="K1338" s="13"/>
      <c r="L1338" s="13"/>
      <c r="M1338" s="13"/>
      <c r="N1338" s="13"/>
      <c r="O1338" s="13"/>
      <c r="P1338" s="13">
        <v>47000</v>
      </c>
      <c r="Q1338" s="13"/>
      <c r="R1338" s="13"/>
      <c r="T1338" s="13">
        <f t="shared" si="369"/>
        <v>0</v>
      </c>
    </row>
    <row r="1339" spans="2:20" x14ac:dyDescent="0.25">
      <c r="B1339" s="97">
        <f t="shared" si="365"/>
        <v>551</v>
      </c>
      <c r="C1339" s="12"/>
      <c r="D1339" s="12"/>
      <c r="E1339" s="12"/>
      <c r="F1339" s="12"/>
      <c r="G1339" s="127"/>
      <c r="H1339" s="12" t="s">
        <v>881</v>
      </c>
      <c r="I1339" s="13"/>
      <c r="J1339" s="13"/>
      <c r="K1339" s="13"/>
      <c r="L1339" s="13"/>
      <c r="M1339" s="13"/>
      <c r="N1339" s="13">
        <v>59402</v>
      </c>
      <c r="O1339" s="13"/>
      <c r="P1339" s="13">
        <v>59402</v>
      </c>
      <c r="Q1339" s="13"/>
      <c r="R1339" s="13"/>
      <c r="T1339" s="13">
        <f t="shared" si="369"/>
        <v>59402</v>
      </c>
    </row>
    <row r="1340" spans="2:20" x14ac:dyDescent="0.25">
      <c r="B1340" s="97">
        <f t="shared" si="365"/>
        <v>552</v>
      </c>
      <c r="C1340" s="12"/>
      <c r="D1340" s="12"/>
      <c r="E1340" s="12"/>
      <c r="F1340" s="12"/>
      <c r="G1340" s="127"/>
      <c r="H1340" s="91" t="s">
        <v>885</v>
      </c>
      <c r="I1340" s="13"/>
      <c r="J1340" s="13"/>
      <c r="K1340" s="13"/>
      <c r="L1340" s="13"/>
      <c r="M1340" s="13"/>
      <c r="N1340" s="13">
        <f>57500+110000</f>
        <v>167500</v>
      </c>
      <c r="O1340" s="13"/>
      <c r="P1340" s="13">
        <v>57500</v>
      </c>
      <c r="Q1340" s="13"/>
      <c r="R1340" s="13"/>
      <c r="T1340" s="13">
        <f t="shared" si="369"/>
        <v>167500</v>
      </c>
    </row>
    <row r="1341" spans="2:20" ht="15.75" x14ac:dyDescent="0.25">
      <c r="B1341" s="97">
        <f t="shared" si="365"/>
        <v>553</v>
      </c>
      <c r="C1341" s="45">
        <v>3</v>
      </c>
      <c r="D1341" s="293" t="s">
        <v>556</v>
      </c>
      <c r="E1341" s="294"/>
      <c r="F1341" s="294"/>
      <c r="G1341" s="294"/>
      <c r="H1341" s="295"/>
      <c r="I1341" s="46">
        <f>I1345+I1348+I1357+I1362+I1374+I1382+I1391+I1400+I1409+I1418+I1427+I1436+I1445+I1454</f>
        <v>2232961</v>
      </c>
      <c r="J1341" s="46">
        <f t="shared" ref="J1341:R1341" si="379">J1342</f>
        <v>1994082</v>
      </c>
      <c r="K1341" s="46">
        <f t="shared" si="379"/>
        <v>2020203</v>
      </c>
      <c r="L1341" s="46">
        <f t="shared" si="379"/>
        <v>1825935.53</v>
      </c>
      <c r="M1341" s="46">
        <f t="shared" si="379"/>
        <v>1627688</v>
      </c>
      <c r="N1341" s="46">
        <v>0</v>
      </c>
      <c r="O1341" s="46">
        <f t="shared" si="379"/>
        <v>0</v>
      </c>
      <c r="P1341" s="46">
        <f t="shared" si="379"/>
        <v>4000</v>
      </c>
      <c r="Q1341" s="46">
        <f t="shared" si="379"/>
        <v>0</v>
      </c>
      <c r="R1341" s="46">
        <f t="shared" si="379"/>
        <v>16451</v>
      </c>
      <c r="T1341" s="46">
        <f t="shared" si="369"/>
        <v>2232961</v>
      </c>
    </row>
    <row r="1342" spans="2:20" hidden="1" x14ac:dyDescent="0.25">
      <c r="B1342" s="97">
        <f t="shared" si="365"/>
        <v>554</v>
      </c>
      <c r="C1342" s="47"/>
      <c r="D1342" s="47" t="s">
        <v>60</v>
      </c>
      <c r="E1342" s="296"/>
      <c r="F1342" s="294"/>
      <c r="G1342" s="294"/>
      <c r="H1342" s="295"/>
      <c r="I1342" s="48" t="e">
        <f>#REF!+#REF!</f>
        <v>#REF!</v>
      </c>
      <c r="J1342" s="48">
        <f>J1454+J1445+J1436+J1427+J1418+J1409+J1400+J1391+J1382+J1374+J1362+J1343</f>
        <v>1994082</v>
      </c>
      <c r="K1342" s="48">
        <f>K1454+K1445+K1436+K1427+K1418+K1409+K1400+K1391+K1382+K1374+K1362+K1343</f>
        <v>2020203</v>
      </c>
      <c r="L1342" s="48">
        <f>L1454+L1445+L1436+L1427+L1418+L1409+L1400+L1391+L1382+L1374+L1362+L1343</f>
        <v>1825935.53</v>
      </c>
      <c r="M1342" s="48">
        <f>M1454+M1445+M1436+M1427+M1418+M1409+M1400+M1391+M1382+M1374+M1362+M1343</f>
        <v>1627688</v>
      </c>
      <c r="N1342" s="48"/>
      <c r="O1342" s="48">
        <f>O1454+O1445+O1436+O1427+O1418+O1409+O1400+O1391+O1382+O1374+O1362+O1343</f>
        <v>0</v>
      </c>
      <c r="P1342" s="48">
        <f>P1454+P1445+P1436+P1427+P1418+P1409+P1400+P1391+P1382+P1374+P1362+P1343</f>
        <v>4000</v>
      </c>
      <c r="Q1342" s="48">
        <f>Q1454+Q1445+Q1436+Q1427+Q1418+Q1409+Q1400+Q1391+Q1382+Q1374+Q1362+Q1343</f>
        <v>0</v>
      </c>
      <c r="R1342" s="48">
        <f>R1454+R1445+R1436+R1427+R1418+R1409+R1400+R1391+R1382+R1374+R1362+R1343</f>
        <v>16451</v>
      </c>
      <c r="T1342" s="48" t="e">
        <f t="shared" si="369"/>
        <v>#REF!</v>
      </c>
    </row>
    <row r="1343" spans="2:20" hidden="1" x14ac:dyDescent="0.25">
      <c r="B1343" s="97">
        <f t="shared" si="365"/>
        <v>555</v>
      </c>
      <c r="C1343" s="49"/>
      <c r="D1343" s="49"/>
      <c r="E1343" s="49"/>
      <c r="F1343" s="49"/>
      <c r="G1343" s="123"/>
      <c r="H1343" s="49" t="s">
        <v>12</v>
      </c>
      <c r="I1343" s="50" t="e">
        <f>#REF!+#REF!</f>
        <v>#REF!</v>
      </c>
      <c r="J1343" s="50">
        <f t="shared" ref="J1343:R1343" si="380">J1344</f>
        <v>396065</v>
      </c>
      <c r="K1343" s="50">
        <f t="shared" si="380"/>
        <v>396065</v>
      </c>
      <c r="L1343" s="50">
        <f t="shared" si="380"/>
        <v>330208.27</v>
      </c>
      <c r="M1343" s="50">
        <f t="shared" si="380"/>
        <v>266316</v>
      </c>
      <c r="N1343" s="50"/>
      <c r="O1343" s="50">
        <f t="shared" si="380"/>
        <v>0</v>
      </c>
      <c r="P1343" s="50">
        <f t="shared" si="380"/>
        <v>4000</v>
      </c>
      <c r="Q1343" s="50">
        <f t="shared" si="380"/>
        <v>0</v>
      </c>
      <c r="R1343" s="50">
        <f t="shared" si="380"/>
        <v>16451</v>
      </c>
      <c r="T1343" s="50" t="e">
        <f t="shared" si="369"/>
        <v>#REF!</v>
      </c>
    </row>
    <row r="1344" spans="2:20" hidden="1" x14ac:dyDescent="0.25">
      <c r="B1344" s="97">
        <f t="shared" ref="B1344:B1407" si="381">B1343+1</f>
        <v>556</v>
      </c>
      <c r="C1344" s="51"/>
      <c r="D1344" s="51"/>
      <c r="E1344" s="51" t="s">
        <v>60</v>
      </c>
      <c r="F1344" s="51"/>
      <c r="G1344" s="124"/>
      <c r="H1344" s="51" t="s">
        <v>355</v>
      </c>
      <c r="I1344" s="52" t="e">
        <f>#REF!+#REF!</f>
        <v>#REF!</v>
      </c>
      <c r="J1344" s="52">
        <f>J1357+J1348+J1345</f>
        <v>396065</v>
      </c>
      <c r="K1344" s="52">
        <f>K1357+K1348+K1345</f>
        <v>396065</v>
      </c>
      <c r="L1344" s="52">
        <f>L1357+L1348+L1345</f>
        <v>330208.27</v>
      </c>
      <c r="M1344" s="52">
        <f>M1357+M1348+M1345</f>
        <v>266316</v>
      </c>
      <c r="N1344" s="52"/>
      <c r="O1344" s="52">
        <f>O1357+O1348+O1345</f>
        <v>0</v>
      </c>
      <c r="P1344" s="52">
        <f>P1357+P1348+P1345</f>
        <v>4000</v>
      </c>
      <c r="Q1344" s="52">
        <f>Q1357+Q1348+Q1345</f>
        <v>0</v>
      </c>
      <c r="R1344" s="52">
        <f>R1357+R1348+R1345</f>
        <v>16451</v>
      </c>
      <c r="T1344" s="52" t="e">
        <f t="shared" si="369"/>
        <v>#REF!</v>
      </c>
    </row>
    <row r="1345" spans="2:20" x14ac:dyDescent="0.25">
      <c r="B1345" s="97">
        <f t="shared" si="381"/>
        <v>557</v>
      </c>
      <c r="C1345" s="29"/>
      <c r="D1345" s="29"/>
      <c r="E1345" s="29"/>
      <c r="F1345" s="53" t="s">
        <v>363</v>
      </c>
      <c r="G1345" s="125">
        <v>630</v>
      </c>
      <c r="H1345" s="29" t="s">
        <v>303</v>
      </c>
      <c r="I1345" s="15">
        <f>I1346+I1347</f>
        <v>0</v>
      </c>
      <c r="J1345" s="15">
        <f t="shared" ref="J1345:M1345" si="382">J1347+J1346</f>
        <v>0</v>
      </c>
      <c r="K1345" s="15">
        <f t="shared" si="382"/>
        <v>0</v>
      </c>
      <c r="L1345" s="15">
        <f t="shared" si="382"/>
        <v>0</v>
      </c>
      <c r="M1345" s="15">
        <f t="shared" si="382"/>
        <v>0</v>
      </c>
      <c r="N1345" s="15"/>
      <c r="O1345" s="15"/>
      <c r="P1345" s="15"/>
      <c r="Q1345" s="15"/>
      <c r="R1345" s="15"/>
      <c r="T1345" s="15">
        <f t="shared" si="369"/>
        <v>0</v>
      </c>
    </row>
    <row r="1346" spans="2:20" x14ac:dyDescent="0.25">
      <c r="B1346" s="97">
        <f t="shared" si="381"/>
        <v>558</v>
      </c>
      <c r="C1346" s="9"/>
      <c r="D1346" s="9"/>
      <c r="E1346" s="9"/>
      <c r="F1346" s="54" t="s">
        <v>363</v>
      </c>
      <c r="G1346" s="126">
        <v>632</v>
      </c>
      <c r="H1346" s="9" t="s">
        <v>314</v>
      </c>
      <c r="I1346" s="10">
        <v>0</v>
      </c>
      <c r="J1346" s="10">
        <v>0</v>
      </c>
      <c r="K1346" s="10"/>
      <c r="L1346" s="10"/>
      <c r="M1346" s="10">
        <v>0</v>
      </c>
      <c r="N1346" s="10"/>
      <c r="O1346" s="10"/>
      <c r="P1346" s="10"/>
      <c r="Q1346" s="10"/>
      <c r="R1346" s="10"/>
      <c r="T1346" s="10">
        <f t="shared" si="369"/>
        <v>0</v>
      </c>
    </row>
    <row r="1347" spans="2:20" x14ac:dyDescent="0.25">
      <c r="B1347" s="97">
        <f t="shared" si="381"/>
        <v>559</v>
      </c>
      <c r="C1347" s="9"/>
      <c r="D1347" s="9"/>
      <c r="E1347" s="9"/>
      <c r="F1347" s="54" t="s">
        <v>363</v>
      </c>
      <c r="G1347" s="126">
        <v>635</v>
      </c>
      <c r="H1347" s="9" t="s">
        <v>320</v>
      </c>
      <c r="I1347" s="10">
        <v>0</v>
      </c>
      <c r="J1347" s="10">
        <v>0</v>
      </c>
      <c r="K1347" s="10"/>
      <c r="L1347" s="10"/>
      <c r="M1347" s="10">
        <v>0</v>
      </c>
      <c r="N1347" s="10"/>
      <c r="O1347" s="10"/>
      <c r="P1347" s="10"/>
      <c r="Q1347" s="10"/>
      <c r="R1347" s="10"/>
      <c r="T1347" s="10">
        <f t="shared" si="369"/>
        <v>0</v>
      </c>
    </row>
    <row r="1348" spans="2:20" x14ac:dyDescent="0.25">
      <c r="B1348" s="97">
        <f t="shared" si="381"/>
        <v>560</v>
      </c>
      <c r="C1348" s="29"/>
      <c r="D1348" s="29"/>
      <c r="E1348" s="29"/>
      <c r="F1348" s="53" t="s">
        <v>363</v>
      </c>
      <c r="G1348" s="125">
        <v>640</v>
      </c>
      <c r="H1348" s="29" t="s">
        <v>315</v>
      </c>
      <c r="I1348" s="15">
        <f>I1349</f>
        <v>455505</v>
      </c>
      <c r="J1348" s="15">
        <f t="shared" ref="J1348:M1348" si="383">J1349</f>
        <v>396065</v>
      </c>
      <c r="K1348" s="15">
        <f t="shared" si="383"/>
        <v>396065</v>
      </c>
      <c r="L1348" s="15">
        <f t="shared" si="383"/>
        <v>330208.27</v>
      </c>
      <c r="M1348" s="15">
        <f t="shared" si="383"/>
        <v>266316</v>
      </c>
      <c r="N1348" s="15"/>
      <c r="O1348" s="15"/>
      <c r="P1348" s="15"/>
      <c r="Q1348" s="15"/>
      <c r="R1348" s="15"/>
      <c r="T1348" s="15">
        <f t="shared" si="369"/>
        <v>455505</v>
      </c>
    </row>
    <row r="1349" spans="2:20" x14ac:dyDescent="0.25">
      <c r="B1349" s="97">
        <f t="shared" si="381"/>
        <v>561</v>
      </c>
      <c r="C1349" s="9"/>
      <c r="D1349" s="9"/>
      <c r="E1349" s="9"/>
      <c r="F1349" s="54" t="s">
        <v>363</v>
      </c>
      <c r="G1349" s="126">
        <v>642</v>
      </c>
      <c r="H1349" s="9" t="s">
        <v>316</v>
      </c>
      <c r="I1349" s="10">
        <f>SUM(I1350:I1356)</f>
        <v>455505</v>
      </c>
      <c r="J1349" s="10">
        <f>SUM(J1350:J1356)</f>
        <v>396065</v>
      </c>
      <c r="K1349" s="10">
        <f>SUM(K1350:K1356)</f>
        <v>396065</v>
      </c>
      <c r="L1349" s="10">
        <f>SUM(L1350:L1356)</f>
        <v>330208.27</v>
      </c>
      <c r="M1349" s="10">
        <f>SUM(M1350:M1356)</f>
        <v>266316</v>
      </c>
      <c r="N1349" s="10"/>
      <c r="O1349" s="10"/>
      <c r="P1349" s="10"/>
      <c r="Q1349" s="10"/>
      <c r="R1349" s="10"/>
      <c r="T1349" s="10">
        <f t="shared" si="369"/>
        <v>455505</v>
      </c>
    </row>
    <row r="1350" spans="2:20" x14ac:dyDescent="0.25">
      <c r="B1350" s="97">
        <f t="shared" si="381"/>
        <v>562</v>
      </c>
      <c r="C1350" s="12"/>
      <c r="D1350" s="12"/>
      <c r="E1350" s="12"/>
      <c r="F1350" s="12"/>
      <c r="G1350" s="127"/>
      <c r="H1350" s="12" t="s">
        <v>795</v>
      </c>
      <c r="I1350" s="13">
        <v>13635</v>
      </c>
      <c r="J1350" s="13">
        <v>11056</v>
      </c>
      <c r="K1350" s="13">
        <v>11056</v>
      </c>
      <c r="L1350" s="13">
        <v>13026</v>
      </c>
      <c r="M1350" s="13">
        <v>11740</v>
      </c>
      <c r="N1350" s="13"/>
      <c r="O1350" s="13"/>
      <c r="P1350" s="13"/>
      <c r="Q1350" s="13"/>
      <c r="R1350" s="13"/>
      <c r="T1350" s="13">
        <f t="shared" si="369"/>
        <v>13635</v>
      </c>
    </row>
    <row r="1351" spans="2:20" x14ac:dyDescent="0.25">
      <c r="B1351" s="97">
        <f t="shared" si="381"/>
        <v>563</v>
      </c>
      <c r="C1351" s="12"/>
      <c r="D1351" s="12"/>
      <c r="E1351" s="12"/>
      <c r="F1351" s="12"/>
      <c r="G1351" s="127"/>
      <c r="H1351" s="12" t="s">
        <v>796</v>
      </c>
      <c r="I1351" s="13">
        <v>21452</v>
      </c>
      <c r="J1351" s="13">
        <v>16092</v>
      </c>
      <c r="K1351" s="13">
        <v>16092</v>
      </c>
      <c r="L1351" s="13">
        <v>14787</v>
      </c>
      <c r="M1351" s="13">
        <v>13648</v>
      </c>
      <c r="N1351" s="13"/>
      <c r="O1351" s="13"/>
      <c r="P1351" s="13"/>
      <c r="Q1351" s="13"/>
      <c r="R1351" s="13"/>
      <c r="T1351" s="13">
        <f t="shared" si="369"/>
        <v>21452</v>
      </c>
    </row>
    <row r="1352" spans="2:20" x14ac:dyDescent="0.25">
      <c r="B1352" s="97">
        <f t="shared" si="381"/>
        <v>564</v>
      </c>
      <c r="C1352" s="12"/>
      <c r="D1352" s="12"/>
      <c r="E1352" s="12"/>
      <c r="F1352" s="12"/>
      <c r="G1352" s="127"/>
      <c r="H1352" s="12" t="s">
        <v>797</v>
      </c>
      <c r="I1352" s="13">
        <v>10536</v>
      </c>
      <c r="J1352" s="13">
        <v>11990</v>
      </c>
      <c r="K1352" s="13">
        <v>11990</v>
      </c>
      <c r="L1352" s="13">
        <v>15865</v>
      </c>
      <c r="M1352" s="13">
        <v>15922</v>
      </c>
      <c r="N1352" s="13"/>
      <c r="O1352" s="13"/>
      <c r="P1352" s="13"/>
      <c r="Q1352" s="13"/>
      <c r="R1352" s="13"/>
      <c r="T1352" s="13">
        <f t="shared" si="369"/>
        <v>10536</v>
      </c>
    </row>
    <row r="1353" spans="2:20" x14ac:dyDescent="0.25">
      <c r="B1353" s="97">
        <f t="shared" si="381"/>
        <v>565</v>
      </c>
      <c r="C1353" s="12"/>
      <c r="D1353" s="12"/>
      <c r="E1353" s="12"/>
      <c r="F1353" s="12"/>
      <c r="G1353" s="127"/>
      <c r="H1353" s="12" t="s">
        <v>798</v>
      </c>
      <c r="I1353" s="13">
        <v>13090</v>
      </c>
      <c r="J1353" s="13">
        <v>9852</v>
      </c>
      <c r="K1353" s="13">
        <v>9852</v>
      </c>
      <c r="L1353" s="13">
        <v>8206.27</v>
      </c>
      <c r="M1353" s="13">
        <v>8511</v>
      </c>
      <c r="N1353" s="13"/>
      <c r="O1353" s="13"/>
      <c r="P1353" s="13"/>
      <c r="Q1353" s="13"/>
      <c r="R1353" s="13"/>
      <c r="T1353" s="13">
        <f t="shared" si="369"/>
        <v>13090</v>
      </c>
    </row>
    <row r="1354" spans="2:20" x14ac:dyDescent="0.25">
      <c r="B1354" s="97">
        <f t="shared" si="381"/>
        <v>566</v>
      </c>
      <c r="C1354" s="12"/>
      <c r="D1354" s="12"/>
      <c r="E1354" s="12"/>
      <c r="F1354" s="12"/>
      <c r="G1354" s="127"/>
      <c r="H1354" s="12" t="s">
        <v>799</v>
      </c>
      <c r="I1354" s="13">
        <v>146717</v>
      </c>
      <c r="J1354" s="13">
        <v>150500</v>
      </c>
      <c r="K1354" s="13">
        <v>150500</v>
      </c>
      <c r="L1354" s="13">
        <v>144129</v>
      </c>
      <c r="M1354" s="13">
        <v>111696</v>
      </c>
      <c r="N1354" s="13"/>
      <c r="O1354" s="13"/>
      <c r="P1354" s="13"/>
      <c r="Q1354" s="13"/>
      <c r="R1354" s="13"/>
      <c r="T1354" s="13">
        <f t="shared" si="369"/>
        <v>146717</v>
      </c>
    </row>
    <row r="1355" spans="2:20" x14ac:dyDescent="0.25">
      <c r="B1355" s="97">
        <f t="shared" si="381"/>
        <v>567</v>
      </c>
      <c r="C1355" s="12"/>
      <c r="D1355" s="12"/>
      <c r="E1355" s="12"/>
      <c r="F1355" s="12"/>
      <c r="G1355" s="127"/>
      <c r="H1355" s="12" t="s">
        <v>800</v>
      </c>
      <c r="I1355" s="13">
        <v>246802</v>
      </c>
      <c r="J1355" s="13">
        <v>193291</v>
      </c>
      <c r="K1355" s="13">
        <v>193291</v>
      </c>
      <c r="L1355" s="13">
        <v>134195</v>
      </c>
      <c r="M1355" s="13">
        <v>104799</v>
      </c>
      <c r="N1355" s="13"/>
      <c r="O1355" s="13"/>
      <c r="P1355" s="13"/>
      <c r="Q1355" s="13"/>
      <c r="R1355" s="13"/>
      <c r="T1355" s="13">
        <f t="shared" si="369"/>
        <v>246802</v>
      </c>
    </row>
    <row r="1356" spans="2:20" x14ac:dyDescent="0.25">
      <c r="B1356" s="97">
        <f t="shared" si="381"/>
        <v>568</v>
      </c>
      <c r="C1356" s="12"/>
      <c r="D1356" s="12"/>
      <c r="E1356" s="12"/>
      <c r="F1356" s="12"/>
      <c r="G1356" s="127"/>
      <c r="H1356" s="12" t="s">
        <v>801</v>
      </c>
      <c r="I1356" s="13">
        <v>3273</v>
      </c>
      <c r="J1356" s="13">
        <v>3284</v>
      </c>
      <c r="K1356" s="13">
        <v>3284</v>
      </c>
      <c r="L1356" s="13">
        <v>0</v>
      </c>
      <c r="M1356" s="13">
        <v>0</v>
      </c>
      <c r="N1356" s="13"/>
      <c r="O1356" s="13"/>
      <c r="P1356" s="13"/>
      <c r="Q1356" s="13"/>
      <c r="R1356" s="13"/>
      <c r="T1356" s="13">
        <f t="shared" si="369"/>
        <v>3273</v>
      </c>
    </row>
    <row r="1357" spans="2:20" x14ac:dyDescent="0.25">
      <c r="B1357" s="97">
        <f t="shared" si="381"/>
        <v>569</v>
      </c>
      <c r="C1357" s="29"/>
      <c r="D1357" s="29"/>
      <c r="E1357" s="29"/>
      <c r="F1357" s="53" t="s">
        <v>363</v>
      </c>
      <c r="G1357" s="125">
        <v>710</v>
      </c>
      <c r="H1357" s="29" t="s">
        <v>321</v>
      </c>
      <c r="I1357" s="15"/>
      <c r="J1357" s="15"/>
      <c r="K1357" s="15"/>
      <c r="L1357" s="15"/>
      <c r="M1357" s="15"/>
      <c r="N1357" s="15"/>
      <c r="O1357" s="15"/>
      <c r="P1357" s="15">
        <f t="shared" ref="P1357:R1357" si="384">P1358</f>
        <v>4000</v>
      </c>
      <c r="Q1357" s="15"/>
      <c r="R1357" s="15">
        <f t="shared" si="384"/>
        <v>16451</v>
      </c>
      <c r="T1357" s="15">
        <f t="shared" si="369"/>
        <v>0</v>
      </c>
    </row>
    <row r="1358" spans="2:20" x14ac:dyDescent="0.25">
      <c r="B1358" s="97">
        <f t="shared" si="381"/>
        <v>570</v>
      </c>
      <c r="C1358" s="9"/>
      <c r="D1358" s="9"/>
      <c r="E1358" s="9"/>
      <c r="F1358" s="54" t="s">
        <v>363</v>
      </c>
      <c r="G1358" s="126">
        <v>717</v>
      </c>
      <c r="H1358" s="9" t="s">
        <v>327</v>
      </c>
      <c r="I1358" s="10"/>
      <c r="J1358" s="10"/>
      <c r="K1358" s="10"/>
      <c r="L1358" s="10"/>
      <c r="M1358" s="10"/>
      <c r="N1358" s="10"/>
      <c r="O1358" s="10"/>
      <c r="P1358" s="10">
        <f>P1361</f>
        <v>4000</v>
      </c>
      <c r="Q1358" s="10"/>
      <c r="R1358" s="10">
        <f>R1359+R1360+2246</f>
        <v>16451</v>
      </c>
      <c r="T1358" s="10">
        <f t="shared" si="369"/>
        <v>0</v>
      </c>
    </row>
    <row r="1359" spans="2:20" x14ac:dyDescent="0.25">
      <c r="B1359" s="97">
        <f t="shared" si="381"/>
        <v>571</v>
      </c>
      <c r="C1359" s="12"/>
      <c r="D1359" s="12"/>
      <c r="E1359" s="12"/>
      <c r="F1359" s="12"/>
      <c r="G1359" s="127"/>
      <c r="H1359" s="12" t="s">
        <v>558</v>
      </c>
      <c r="I1359" s="13"/>
      <c r="J1359" s="13"/>
      <c r="K1359" s="13"/>
      <c r="L1359" s="13"/>
      <c r="M1359" s="13"/>
      <c r="N1359" s="13"/>
      <c r="O1359" s="13"/>
      <c r="P1359" s="13"/>
      <c r="Q1359" s="13"/>
      <c r="R1359" s="13">
        <v>5873</v>
      </c>
      <c r="T1359" s="13">
        <f t="shared" si="369"/>
        <v>0</v>
      </c>
    </row>
    <row r="1360" spans="2:20" x14ac:dyDescent="0.25">
      <c r="B1360" s="97">
        <f t="shared" si="381"/>
        <v>572</v>
      </c>
      <c r="C1360" s="12"/>
      <c r="D1360" s="12"/>
      <c r="E1360" s="12"/>
      <c r="F1360" s="12"/>
      <c r="G1360" s="127"/>
      <c r="H1360" s="12" t="s">
        <v>559</v>
      </c>
      <c r="I1360" s="13"/>
      <c r="J1360" s="13"/>
      <c r="K1360" s="13"/>
      <c r="L1360" s="13"/>
      <c r="M1360" s="13"/>
      <c r="N1360" s="13"/>
      <c r="O1360" s="13"/>
      <c r="P1360" s="13"/>
      <c r="Q1360" s="13"/>
      <c r="R1360" s="13">
        <v>8332</v>
      </c>
      <c r="T1360" s="13">
        <f t="shared" si="369"/>
        <v>0</v>
      </c>
    </row>
    <row r="1361" spans="2:20" x14ac:dyDescent="0.25">
      <c r="B1361" s="97">
        <f t="shared" si="381"/>
        <v>573</v>
      </c>
      <c r="C1361" s="12"/>
      <c r="D1361" s="12"/>
      <c r="E1361" s="12"/>
      <c r="F1361" s="12"/>
      <c r="G1361" s="127"/>
      <c r="H1361" s="12" t="s">
        <v>560</v>
      </c>
      <c r="I1361" s="13"/>
      <c r="J1361" s="13"/>
      <c r="K1361" s="13"/>
      <c r="L1361" s="13"/>
      <c r="M1361" s="13"/>
      <c r="N1361" s="13"/>
      <c r="O1361" s="13"/>
      <c r="P1361" s="13">
        <v>4000</v>
      </c>
      <c r="Q1361" s="13"/>
      <c r="R1361" s="13">
        <v>0</v>
      </c>
      <c r="T1361" s="13">
        <f t="shared" si="369"/>
        <v>0</v>
      </c>
    </row>
    <row r="1362" spans="2:20" x14ac:dyDescent="0.25">
      <c r="B1362" s="97">
        <f t="shared" si="381"/>
        <v>574</v>
      </c>
      <c r="C1362" s="49"/>
      <c r="D1362" s="49"/>
      <c r="E1362" s="49">
        <v>1</v>
      </c>
      <c r="F1362" s="49"/>
      <c r="G1362" s="123"/>
      <c r="H1362" s="49" t="s">
        <v>57</v>
      </c>
      <c r="I1362" s="50">
        <f>I1363</f>
        <v>146848</v>
      </c>
      <c r="J1362" s="50">
        <f t="shared" ref="J1362:R1362" si="385">J1363</f>
        <v>104425</v>
      </c>
      <c r="K1362" s="50">
        <f t="shared" si="385"/>
        <v>116925</v>
      </c>
      <c r="L1362" s="50">
        <f t="shared" si="385"/>
        <v>105354.95000000001</v>
      </c>
      <c r="M1362" s="50">
        <f t="shared" si="385"/>
        <v>100734</v>
      </c>
      <c r="N1362" s="50">
        <v>0</v>
      </c>
      <c r="O1362" s="50">
        <f t="shared" si="385"/>
        <v>0</v>
      </c>
      <c r="P1362" s="50">
        <f t="shared" si="385"/>
        <v>0</v>
      </c>
      <c r="Q1362" s="50">
        <f t="shared" si="385"/>
        <v>0</v>
      </c>
      <c r="R1362" s="50">
        <f t="shared" si="385"/>
        <v>0</v>
      </c>
      <c r="T1362" s="50">
        <f t="shared" si="369"/>
        <v>146848</v>
      </c>
    </row>
    <row r="1363" spans="2:20" ht="15" hidden="1" customHeight="1" x14ac:dyDescent="0.25">
      <c r="B1363" s="97">
        <f t="shared" si="381"/>
        <v>575</v>
      </c>
      <c r="C1363" s="51"/>
      <c r="D1363" s="51"/>
      <c r="E1363" s="51" t="s">
        <v>60</v>
      </c>
      <c r="F1363" s="51"/>
      <c r="G1363" s="124"/>
      <c r="H1363" s="51"/>
      <c r="I1363" s="52">
        <f>I1364+I1365+I1366+I1373</f>
        <v>146848</v>
      </c>
      <c r="J1363" s="52">
        <f>J1373+J1366+J1365+J1364</f>
        <v>104425</v>
      </c>
      <c r="K1363" s="52">
        <f>K1373+K1366+K1365+K1364</f>
        <v>116925</v>
      </c>
      <c r="L1363" s="52">
        <f>L1373+L1366+L1365+L1364</f>
        <v>105354.95000000001</v>
      </c>
      <c r="M1363" s="52">
        <f>M1373+M1366+M1365+M1364</f>
        <v>100734</v>
      </c>
      <c r="N1363" s="52"/>
      <c r="O1363" s="52">
        <f>O1373+O1366+O1365+O1364</f>
        <v>0</v>
      </c>
      <c r="P1363" s="52">
        <f>P1373+P1366+P1365+P1364</f>
        <v>0</v>
      </c>
      <c r="Q1363" s="52">
        <f>Q1373+Q1366+Q1365+Q1364</f>
        <v>0</v>
      </c>
      <c r="R1363" s="52">
        <f>R1373+R1366+R1365+R1364</f>
        <v>0</v>
      </c>
      <c r="T1363" s="52">
        <f t="shared" si="369"/>
        <v>146848</v>
      </c>
    </row>
    <row r="1364" spans="2:20" x14ac:dyDescent="0.25">
      <c r="B1364" s="97">
        <f t="shared" si="381"/>
        <v>576</v>
      </c>
      <c r="C1364" s="29"/>
      <c r="D1364" s="29"/>
      <c r="E1364" s="29"/>
      <c r="F1364" s="53" t="s">
        <v>363</v>
      </c>
      <c r="G1364" s="125">
        <v>610</v>
      </c>
      <c r="H1364" s="29" t="s">
        <v>338</v>
      </c>
      <c r="I1364" s="15">
        <v>84000</v>
      </c>
      <c r="J1364" s="15">
        <v>60321</v>
      </c>
      <c r="K1364" s="15">
        <v>62321</v>
      </c>
      <c r="L1364" s="15">
        <v>52420</v>
      </c>
      <c r="M1364" s="15">
        <v>47262</v>
      </c>
      <c r="N1364" s="15"/>
      <c r="O1364" s="15"/>
      <c r="P1364" s="15"/>
      <c r="Q1364" s="15"/>
      <c r="R1364" s="15"/>
      <c r="T1364" s="15">
        <f t="shared" si="369"/>
        <v>84000</v>
      </c>
    </row>
    <row r="1365" spans="2:20" x14ac:dyDescent="0.25">
      <c r="B1365" s="97">
        <f t="shared" si="381"/>
        <v>577</v>
      </c>
      <c r="C1365" s="29"/>
      <c r="D1365" s="29"/>
      <c r="E1365" s="29"/>
      <c r="F1365" s="53" t="s">
        <v>363</v>
      </c>
      <c r="G1365" s="125">
        <v>620</v>
      </c>
      <c r="H1365" s="29" t="s">
        <v>313</v>
      </c>
      <c r="I1365" s="15">
        <v>31500</v>
      </c>
      <c r="J1365" s="15">
        <v>20947</v>
      </c>
      <c r="K1365" s="15">
        <v>22547</v>
      </c>
      <c r="L1365" s="15">
        <v>19949</v>
      </c>
      <c r="M1365" s="15">
        <v>16628</v>
      </c>
      <c r="N1365" s="15"/>
      <c r="O1365" s="15"/>
      <c r="P1365" s="15"/>
      <c r="Q1365" s="15"/>
      <c r="R1365" s="15"/>
      <c r="T1365" s="15">
        <f t="shared" si="369"/>
        <v>31500</v>
      </c>
    </row>
    <row r="1366" spans="2:20" x14ac:dyDescent="0.25">
      <c r="B1366" s="97">
        <f t="shared" si="381"/>
        <v>578</v>
      </c>
      <c r="C1366" s="29"/>
      <c r="D1366" s="29"/>
      <c r="E1366" s="29"/>
      <c r="F1366" s="53" t="s">
        <v>363</v>
      </c>
      <c r="G1366" s="125">
        <v>630</v>
      </c>
      <c r="H1366" s="29" t="s">
        <v>303</v>
      </c>
      <c r="I1366" s="15">
        <f>I1367+I1368+I1369+I1370+I1371+I1372</f>
        <v>30848</v>
      </c>
      <c r="J1366" s="15">
        <f t="shared" ref="J1366:M1366" si="386">J1372+J1371+J1369+J1368+J1367</f>
        <v>22757</v>
      </c>
      <c r="K1366" s="15">
        <f t="shared" si="386"/>
        <v>31657</v>
      </c>
      <c r="L1366" s="15">
        <f>L1372+L1371+L1369+L1368+L1367+L1370</f>
        <v>32626.22</v>
      </c>
      <c r="M1366" s="15">
        <f t="shared" si="386"/>
        <v>34204</v>
      </c>
      <c r="N1366" s="15"/>
      <c r="O1366" s="15"/>
      <c r="P1366" s="15"/>
      <c r="Q1366" s="15"/>
      <c r="R1366" s="15"/>
      <c r="T1366" s="15">
        <f t="shared" si="369"/>
        <v>30848</v>
      </c>
    </row>
    <row r="1367" spans="2:20" x14ac:dyDescent="0.25">
      <c r="B1367" s="97">
        <f t="shared" si="381"/>
        <v>579</v>
      </c>
      <c r="C1367" s="9"/>
      <c r="D1367" s="9"/>
      <c r="E1367" s="9"/>
      <c r="F1367" s="54" t="s">
        <v>363</v>
      </c>
      <c r="G1367" s="126">
        <v>631</v>
      </c>
      <c r="H1367" s="9" t="s">
        <v>304</v>
      </c>
      <c r="I1367" s="10">
        <v>400</v>
      </c>
      <c r="J1367" s="10">
        <v>500</v>
      </c>
      <c r="K1367" s="10">
        <v>500</v>
      </c>
      <c r="L1367" s="10">
        <v>106</v>
      </c>
      <c r="M1367" s="10">
        <v>192</v>
      </c>
      <c r="N1367" s="10"/>
      <c r="O1367" s="10"/>
      <c r="P1367" s="10"/>
      <c r="Q1367" s="10"/>
      <c r="R1367" s="10"/>
      <c r="T1367" s="10">
        <f t="shared" si="369"/>
        <v>400</v>
      </c>
    </row>
    <row r="1368" spans="2:20" x14ac:dyDescent="0.25">
      <c r="B1368" s="97">
        <f t="shared" si="381"/>
        <v>580</v>
      </c>
      <c r="C1368" s="9"/>
      <c r="D1368" s="9"/>
      <c r="E1368" s="9"/>
      <c r="F1368" s="54" t="s">
        <v>363</v>
      </c>
      <c r="G1368" s="126">
        <v>632</v>
      </c>
      <c r="H1368" s="9" t="s">
        <v>314</v>
      </c>
      <c r="I1368" s="10">
        <v>6900</v>
      </c>
      <c r="J1368" s="10">
        <v>6300</v>
      </c>
      <c r="K1368" s="10">
        <v>6300</v>
      </c>
      <c r="L1368" s="10">
        <v>6691.26</v>
      </c>
      <c r="M1368" s="10">
        <v>6749</v>
      </c>
      <c r="N1368" s="10"/>
      <c r="O1368" s="10"/>
      <c r="P1368" s="10"/>
      <c r="Q1368" s="10"/>
      <c r="R1368" s="10"/>
      <c r="T1368" s="10">
        <f t="shared" si="369"/>
        <v>6900</v>
      </c>
    </row>
    <row r="1369" spans="2:20" x14ac:dyDescent="0.25">
      <c r="B1369" s="97">
        <f t="shared" si="381"/>
        <v>581</v>
      </c>
      <c r="C1369" s="9"/>
      <c r="D1369" s="9"/>
      <c r="E1369" s="9"/>
      <c r="F1369" s="54" t="s">
        <v>363</v>
      </c>
      <c r="G1369" s="126">
        <v>633</v>
      </c>
      <c r="H1369" s="9" t="s">
        <v>305</v>
      </c>
      <c r="I1369" s="10">
        <v>7748</v>
      </c>
      <c r="J1369" s="10">
        <v>5243</v>
      </c>
      <c r="K1369" s="10">
        <v>5243</v>
      </c>
      <c r="L1369" s="10">
        <v>9234</v>
      </c>
      <c r="M1369" s="10">
        <f>2593+1406</f>
        <v>3999</v>
      </c>
      <c r="N1369" s="10"/>
      <c r="O1369" s="10"/>
      <c r="P1369" s="10"/>
      <c r="Q1369" s="10"/>
      <c r="R1369" s="10"/>
      <c r="T1369" s="10">
        <f t="shared" ref="T1369:T1432" si="387">I1369+N1369</f>
        <v>7748</v>
      </c>
    </row>
    <row r="1370" spans="2:20" x14ac:dyDescent="0.25">
      <c r="B1370" s="97">
        <f t="shared" si="381"/>
        <v>582</v>
      </c>
      <c r="C1370" s="9"/>
      <c r="D1370" s="9"/>
      <c r="E1370" s="9"/>
      <c r="F1370" s="54" t="s">
        <v>363</v>
      </c>
      <c r="G1370" s="126">
        <v>634</v>
      </c>
      <c r="H1370" s="9" t="s">
        <v>306</v>
      </c>
      <c r="I1370" s="10">
        <v>0</v>
      </c>
      <c r="J1370" s="10"/>
      <c r="K1370" s="10"/>
      <c r="L1370" s="10">
        <v>367</v>
      </c>
      <c r="M1370" s="10"/>
      <c r="N1370" s="10"/>
      <c r="O1370" s="10"/>
      <c r="P1370" s="10"/>
      <c r="Q1370" s="10"/>
      <c r="R1370" s="10"/>
      <c r="T1370" s="10">
        <f t="shared" si="387"/>
        <v>0</v>
      </c>
    </row>
    <row r="1371" spans="2:20" x14ac:dyDescent="0.25">
      <c r="B1371" s="97">
        <f t="shared" si="381"/>
        <v>583</v>
      </c>
      <c r="C1371" s="9"/>
      <c r="D1371" s="9"/>
      <c r="E1371" s="9"/>
      <c r="F1371" s="54" t="s">
        <v>363</v>
      </c>
      <c r="G1371" s="126">
        <v>635</v>
      </c>
      <c r="H1371" s="9" t="s">
        <v>320</v>
      </c>
      <c r="I1371" s="10">
        <v>500</v>
      </c>
      <c r="J1371" s="10">
        <v>435</v>
      </c>
      <c r="K1371" s="10">
        <v>3935</v>
      </c>
      <c r="L1371" s="10">
        <v>237.96</v>
      </c>
      <c r="M1371" s="10">
        <v>1230</v>
      </c>
      <c r="N1371" s="10"/>
      <c r="O1371" s="10"/>
      <c r="P1371" s="10"/>
      <c r="Q1371" s="10"/>
      <c r="R1371" s="10"/>
      <c r="T1371" s="10">
        <f t="shared" si="387"/>
        <v>500</v>
      </c>
    </row>
    <row r="1372" spans="2:20" x14ac:dyDescent="0.25">
      <c r="B1372" s="97">
        <f t="shared" si="381"/>
        <v>584</v>
      </c>
      <c r="C1372" s="9"/>
      <c r="D1372" s="9"/>
      <c r="E1372" s="9"/>
      <c r="F1372" s="54" t="s">
        <v>363</v>
      </c>
      <c r="G1372" s="126">
        <v>637</v>
      </c>
      <c r="H1372" s="9" t="s">
        <v>308</v>
      </c>
      <c r="I1372" s="10">
        <v>15300</v>
      </c>
      <c r="J1372" s="10">
        <v>10279</v>
      </c>
      <c r="K1372" s="10">
        <v>15679</v>
      </c>
      <c r="L1372" s="10">
        <v>15990</v>
      </c>
      <c r="M1372" s="10">
        <v>22034</v>
      </c>
      <c r="N1372" s="10"/>
      <c r="O1372" s="10"/>
      <c r="P1372" s="10"/>
      <c r="Q1372" s="10"/>
      <c r="R1372" s="10"/>
      <c r="T1372" s="10">
        <f t="shared" si="387"/>
        <v>15300</v>
      </c>
    </row>
    <row r="1373" spans="2:20" x14ac:dyDescent="0.25">
      <c r="B1373" s="97">
        <f t="shared" si="381"/>
        <v>585</v>
      </c>
      <c r="C1373" s="29"/>
      <c r="D1373" s="29"/>
      <c r="E1373" s="29"/>
      <c r="F1373" s="53" t="s">
        <v>363</v>
      </c>
      <c r="G1373" s="125">
        <v>640</v>
      </c>
      <c r="H1373" s="29" t="s">
        <v>315</v>
      </c>
      <c r="I1373" s="15">
        <v>500</v>
      </c>
      <c r="J1373" s="15">
        <v>400</v>
      </c>
      <c r="K1373" s="15">
        <v>400</v>
      </c>
      <c r="L1373" s="15">
        <v>359.73</v>
      </c>
      <c r="M1373" s="15">
        <v>2640</v>
      </c>
      <c r="N1373" s="15"/>
      <c r="O1373" s="15"/>
      <c r="P1373" s="15"/>
      <c r="Q1373" s="15"/>
      <c r="R1373" s="15"/>
      <c r="T1373" s="15">
        <f t="shared" si="387"/>
        <v>500</v>
      </c>
    </row>
    <row r="1374" spans="2:20" x14ac:dyDescent="0.25">
      <c r="B1374" s="97">
        <f t="shared" si="381"/>
        <v>586</v>
      </c>
      <c r="C1374" s="49"/>
      <c r="D1374" s="49"/>
      <c r="E1374" s="49">
        <v>4</v>
      </c>
      <c r="F1374" s="49"/>
      <c r="G1374" s="123"/>
      <c r="H1374" s="49" t="s">
        <v>100</v>
      </c>
      <c r="I1374" s="50">
        <f>I1375</f>
        <v>11850</v>
      </c>
      <c r="J1374" s="50">
        <f t="shared" ref="J1374:R1374" si="388">J1375</f>
        <v>12963</v>
      </c>
      <c r="K1374" s="50">
        <f t="shared" si="388"/>
        <v>12963</v>
      </c>
      <c r="L1374" s="50">
        <f t="shared" si="388"/>
        <v>11103</v>
      </c>
      <c r="M1374" s="50">
        <f t="shared" si="388"/>
        <v>10131</v>
      </c>
      <c r="N1374" s="50">
        <v>0</v>
      </c>
      <c r="O1374" s="50">
        <f t="shared" si="388"/>
        <v>0</v>
      </c>
      <c r="P1374" s="50">
        <f t="shared" si="388"/>
        <v>0</v>
      </c>
      <c r="Q1374" s="50">
        <f t="shared" si="388"/>
        <v>0</v>
      </c>
      <c r="R1374" s="50">
        <f t="shared" si="388"/>
        <v>0</v>
      </c>
      <c r="T1374" s="50">
        <f t="shared" si="387"/>
        <v>11850</v>
      </c>
    </row>
    <row r="1375" spans="2:20" x14ac:dyDescent="0.25">
      <c r="B1375" s="97">
        <f t="shared" si="381"/>
        <v>587</v>
      </c>
      <c r="C1375" s="51"/>
      <c r="D1375" s="51"/>
      <c r="E1375" s="51" t="s">
        <v>132</v>
      </c>
      <c r="F1375" s="51"/>
      <c r="G1375" s="124"/>
      <c r="H1375" s="51" t="s">
        <v>133</v>
      </c>
      <c r="I1375" s="52">
        <f>I1376+I1377+I1378</f>
        <v>11850</v>
      </c>
      <c r="J1375" s="52">
        <f t="shared" ref="J1375:R1375" si="389">J1378+J1377+J1376</f>
        <v>12963</v>
      </c>
      <c r="K1375" s="52">
        <f t="shared" si="389"/>
        <v>12963</v>
      </c>
      <c r="L1375" s="52">
        <f t="shared" si="389"/>
        <v>11103</v>
      </c>
      <c r="M1375" s="52">
        <f t="shared" si="389"/>
        <v>10131</v>
      </c>
      <c r="N1375" s="52"/>
      <c r="O1375" s="52">
        <f t="shared" si="389"/>
        <v>0</v>
      </c>
      <c r="P1375" s="52">
        <f t="shared" si="389"/>
        <v>0</v>
      </c>
      <c r="Q1375" s="52">
        <f t="shared" si="389"/>
        <v>0</v>
      </c>
      <c r="R1375" s="52">
        <f t="shared" si="389"/>
        <v>0</v>
      </c>
      <c r="T1375" s="52">
        <f t="shared" si="387"/>
        <v>11850</v>
      </c>
    </row>
    <row r="1376" spans="2:20" x14ac:dyDescent="0.25">
      <c r="B1376" s="97">
        <f t="shared" si="381"/>
        <v>588</v>
      </c>
      <c r="C1376" s="29"/>
      <c r="D1376" s="29"/>
      <c r="E1376" s="29"/>
      <c r="F1376" s="53" t="s">
        <v>363</v>
      </c>
      <c r="G1376" s="125">
        <v>610</v>
      </c>
      <c r="H1376" s="29" t="s">
        <v>338</v>
      </c>
      <c r="I1376" s="15">
        <v>7950</v>
      </c>
      <c r="J1376" s="15">
        <v>8671</v>
      </c>
      <c r="K1376" s="15">
        <v>8671</v>
      </c>
      <c r="L1376" s="15">
        <v>7419</v>
      </c>
      <c r="M1376" s="15">
        <v>7125</v>
      </c>
      <c r="N1376" s="15"/>
      <c r="O1376" s="15"/>
      <c r="P1376" s="15"/>
      <c r="Q1376" s="15"/>
      <c r="R1376" s="15"/>
      <c r="T1376" s="15">
        <f t="shared" si="387"/>
        <v>7950</v>
      </c>
    </row>
    <row r="1377" spans="2:20" x14ac:dyDescent="0.25">
      <c r="B1377" s="97">
        <f t="shared" si="381"/>
        <v>589</v>
      </c>
      <c r="C1377" s="29"/>
      <c r="D1377" s="29"/>
      <c r="E1377" s="29"/>
      <c r="F1377" s="53" t="s">
        <v>363</v>
      </c>
      <c r="G1377" s="125">
        <v>620</v>
      </c>
      <c r="H1377" s="29" t="s">
        <v>313</v>
      </c>
      <c r="I1377" s="15">
        <v>2780</v>
      </c>
      <c r="J1377" s="15">
        <v>3222</v>
      </c>
      <c r="K1377" s="15">
        <v>3222</v>
      </c>
      <c r="L1377" s="15">
        <v>2590</v>
      </c>
      <c r="M1377" s="15">
        <v>2489</v>
      </c>
      <c r="N1377" s="15"/>
      <c r="O1377" s="15"/>
      <c r="P1377" s="15"/>
      <c r="Q1377" s="15"/>
      <c r="R1377" s="15"/>
      <c r="T1377" s="15">
        <f t="shared" si="387"/>
        <v>2780</v>
      </c>
    </row>
    <row r="1378" spans="2:20" x14ac:dyDescent="0.25">
      <c r="B1378" s="97">
        <f t="shared" si="381"/>
        <v>590</v>
      </c>
      <c r="C1378" s="29"/>
      <c r="D1378" s="29"/>
      <c r="E1378" s="29"/>
      <c r="F1378" s="53" t="s">
        <v>363</v>
      </c>
      <c r="G1378" s="125">
        <v>630</v>
      </c>
      <c r="H1378" s="29" t="s">
        <v>303</v>
      </c>
      <c r="I1378" s="15">
        <f>I1379+I1380+I1381</f>
        <v>1120</v>
      </c>
      <c r="J1378" s="15">
        <f t="shared" ref="J1378:M1378" si="390">J1381+J1380+J1379</f>
        <v>1070</v>
      </c>
      <c r="K1378" s="15">
        <f t="shared" si="390"/>
        <v>1070</v>
      </c>
      <c r="L1378" s="15">
        <f t="shared" si="390"/>
        <v>1094</v>
      </c>
      <c r="M1378" s="15">
        <f t="shared" si="390"/>
        <v>517</v>
      </c>
      <c r="N1378" s="15"/>
      <c r="O1378" s="15"/>
      <c r="P1378" s="15"/>
      <c r="Q1378" s="15"/>
      <c r="R1378" s="15"/>
      <c r="T1378" s="15">
        <f t="shared" si="387"/>
        <v>1120</v>
      </c>
    </row>
    <row r="1379" spans="2:20" x14ac:dyDescent="0.25">
      <c r="B1379" s="97">
        <f t="shared" si="381"/>
        <v>591</v>
      </c>
      <c r="C1379" s="9"/>
      <c r="D1379" s="9"/>
      <c r="E1379" s="9"/>
      <c r="F1379" s="54" t="s">
        <v>363</v>
      </c>
      <c r="G1379" s="126">
        <v>632</v>
      </c>
      <c r="H1379" s="9" t="s">
        <v>314</v>
      </c>
      <c r="I1379" s="10">
        <v>580</v>
      </c>
      <c r="J1379" s="10">
        <v>550</v>
      </c>
      <c r="K1379" s="10">
        <v>550</v>
      </c>
      <c r="L1379" s="10">
        <v>550</v>
      </c>
      <c r="M1379" s="10">
        <v>180</v>
      </c>
      <c r="N1379" s="10"/>
      <c r="O1379" s="10"/>
      <c r="P1379" s="10"/>
      <c r="Q1379" s="10"/>
      <c r="R1379" s="10"/>
      <c r="T1379" s="10">
        <f t="shared" si="387"/>
        <v>580</v>
      </c>
    </row>
    <row r="1380" spans="2:20" x14ac:dyDescent="0.25">
      <c r="B1380" s="97">
        <f t="shared" si="381"/>
        <v>592</v>
      </c>
      <c r="C1380" s="9"/>
      <c r="D1380" s="9"/>
      <c r="E1380" s="9"/>
      <c r="F1380" s="54" t="s">
        <v>363</v>
      </c>
      <c r="G1380" s="126">
        <v>633</v>
      </c>
      <c r="H1380" s="9" t="s">
        <v>305</v>
      </c>
      <c r="I1380" s="10">
        <v>420</v>
      </c>
      <c r="J1380" s="10">
        <v>400</v>
      </c>
      <c r="K1380" s="10">
        <v>400</v>
      </c>
      <c r="L1380" s="10">
        <v>400</v>
      </c>
      <c r="M1380" s="10">
        <v>250</v>
      </c>
      <c r="N1380" s="10"/>
      <c r="O1380" s="10"/>
      <c r="P1380" s="10"/>
      <c r="Q1380" s="10"/>
      <c r="R1380" s="10"/>
      <c r="T1380" s="10">
        <f t="shared" si="387"/>
        <v>420</v>
      </c>
    </row>
    <row r="1381" spans="2:20" x14ac:dyDescent="0.25">
      <c r="B1381" s="97">
        <f t="shared" si="381"/>
        <v>593</v>
      </c>
      <c r="C1381" s="9"/>
      <c r="D1381" s="9"/>
      <c r="E1381" s="9"/>
      <c r="F1381" s="54" t="s">
        <v>363</v>
      </c>
      <c r="G1381" s="126">
        <v>637</v>
      </c>
      <c r="H1381" s="9" t="s">
        <v>308</v>
      </c>
      <c r="I1381" s="10">
        <v>120</v>
      </c>
      <c r="J1381" s="10">
        <v>120</v>
      </c>
      <c r="K1381" s="10">
        <v>120</v>
      </c>
      <c r="L1381" s="10">
        <v>144</v>
      </c>
      <c r="M1381" s="10">
        <v>87</v>
      </c>
      <c r="N1381" s="10"/>
      <c r="O1381" s="10"/>
      <c r="P1381" s="10"/>
      <c r="Q1381" s="10"/>
      <c r="R1381" s="10"/>
      <c r="T1381" s="10">
        <f t="shared" si="387"/>
        <v>120</v>
      </c>
    </row>
    <row r="1382" spans="2:20" x14ac:dyDescent="0.25">
      <c r="B1382" s="97">
        <f t="shared" si="381"/>
        <v>594</v>
      </c>
      <c r="C1382" s="49"/>
      <c r="D1382" s="49"/>
      <c r="E1382" s="49">
        <v>6</v>
      </c>
      <c r="F1382" s="49"/>
      <c r="G1382" s="123"/>
      <c r="H1382" s="49" t="s">
        <v>184</v>
      </c>
      <c r="I1382" s="50">
        <f>I1384+I1385+I1386+I1390</f>
        <v>84080</v>
      </c>
      <c r="J1382" s="50">
        <f t="shared" ref="J1382:R1382" si="391">J1383</f>
        <v>79322</v>
      </c>
      <c r="K1382" s="50">
        <f t="shared" si="391"/>
        <v>81022</v>
      </c>
      <c r="L1382" s="50">
        <f t="shared" si="391"/>
        <v>74520</v>
      </c>
      <c r="M1382" s="50">
        <f t="shared" si="391"/>
        <v>71380</v>
      </c>
      <c r="N1382" s="50">
        <v>0</v>
      </c>
      <c r="O1382" s="50">
        <f t="shared" si="391"/>
        <v>0</v>
      </c>
      <c r="P1382" s="50">
        <f t="shared" si="391"/>
        <v>0</v>
      </c>
      <c r="Q1382" s="50">
        <f t="shared" si="391"/>
        <v>0</v>
      </c>
      <c r="R1382" s="50">
        <f t="shared" si="391"/>
        <v>0</v>
      </c>
      <c r="T1382" s="50">
        <f t="shared" si="387"/>
        <v>84080</v>
      </c>
    </row>
    <row r="1383" spans="2:20" hidden="1" x14ac:dyDescent="0.25">
      <c r="B1383" s="97">
        <f t="shared" si="381"/>
        <v>595</v>
      </c>
      <c r="C1383" s="51"/>
      <c r="D1383" s="51"/>
      <c r="E1383" s="51" t="s">
        <v>60</v>
      </c>
      <c r="F1383" s="51"/>
      <c r="G1383" s="124"/>
      <c r="H1383" s="51"/>
      <c r="I1383" s="52" t="e">
        <f>#REF!+#REF!</f>
        <v>#REF!</v>
      </c>
      <c r="J1383" s="52">
        <f t="shared" ref="J1383:R1383" si="392">J1390+J1386+J1385+J1384</f>
        <v>79322</v>
      </c>
      <c r="K1383" s="52">
        <f t="shared" si="392"/>
        <v>81022</v>
      </c>
      <c r="L1383" s="52">
        <f t="shared" si="392"/>
        <v>74520</v>
      </c>
      <c r="M1383" s="52">
        <f t="shared" si="392"/>
        <v>71380</v>
      </c>
      <c r="N1383" s="52"/>
      <c r="O1383" s="52">
        <f t="shared" si="392"/>
        <v>0</v>
      </c>
      <c r="P1383" s="52">
        <f t="shared" si="392"/>
        <v>0</v>
      </c>
      <c r="Q1383" s="52">
        <f t="shared" si="392"/>
        <v>0</v>
      </c>
      <c r="R1383" s="52">
        <f t="shared" si="392"/>
        <v>0</v>
      </c>
      <c r="T1383" s="52" t="e">
        <f t="shared" si="387"/>
        <v>#REF!</v>
      </c>
    </row>
    <row r="1384" spans="2:20" x14ac:dyDescent="0.25">
      <c r="B1384" s="97">
        <f t="shared" si="381"/>
        <v>596</v>
      </c>
      <c r="C1384" s="29"/>
      <c r="D1384" s="29"/>
      <c r="E1384" s="29"/>
      <c r="F1384" s="53" t="s">
        <v>363</v>
      </c>
      <c r="G1384" s="125">
        <v>610</v>
      </c>
      <c r="H1384" s="29" t="s">
        <v>338</v>
      </c>
      <c r="I1384" s="15">
        <v>54533</v>
      </c>
      <c r="J1384" s="15">
        <v>51446</v>
      </c>
      <c r="K1384" s="15">
        <v>52979</v>
      </c>
      <c r="L1384" s="15">
        <v>50232</v>
      </c>
      <c r="M1384" s="15">
        <v>47305</v>
      </c>
      <c r="N1384" s="15"/>
      <c r="O1384" s="15"/>
      <c r="P1384" s="15"/>
      <c r="Q1384" s="15"/>
      <c r="R1384" s="15"/>
      <c r="T1384" s="15">
        <f t="shared" si="387"/>
        <v>54533</v>
      </c>
    </row>
    <row r="1385" spans="2:20" x14ac:dyDescent="0.25">
      <c r="B1385" s="97">
        <f t="shared" si="381"/>
        <v>597</v>
      </c>
      <c r="C1385" s="29"/>
      <c r="D1385" s="29"/>
      <c r="E1385" s="29"/>
      <c r="F1385" s="53" t="s">
        <v>363</v>
      </c>
      <c r="G1385" s="125">
        <v>620</v>
      </c>
      <c r="H1385" s="29" t="s">
        <v>313</v>
      </c>
      <c r="I1385" s="15">
        <v>20234</v>
      </c>
      <c r="J1385" s="15">
        <v>19089</v>
      </c>
      <c r="K1385" s="15">
        <v>19256</v>
      </c>
      <c r="L1385" s="15">
        <v>17388</v>
      </c>
      <c r="M1385" s="15">
        <v>16069</v>
      </c>
      <c r="N1385" s="15"/>
      <c r="O1385" s="15"/>
      <c r="P1385" s="15"/>
      <c r="Q1385" s="15"/>
      <c r="R1385" s="15"/>
      <c r="T1385" s="15">
        <f t="shared" si="387"/>
        <v>20234</v>
      </c>
    </row>
    <row r="1386" spans="2:20" x14ac:dyDescent="0.25">
      <c r="B1386" s="97">
        <f t="shared" si="381"/>
        <v>598</v>
      </c>
      <c r="C1386" s="29"/>
      <c r="D1386" s="29"/>
      <c r="E1386" s="29"/>
      <c r="F1386" s="53" t="s">
        <v>363</v>
      </c>
      <c r="G1386" s="125">
        <v>630</v>
      </c>
      <c r="H1386" s="29" t="s">
        <v>303</v>
      </c>
      <c r="I1386" s="15">
        <f>I1387+I1388+I1389</f>
        <v>8973</v>
      </c>
      <c r="J1386" s="15">
        <f t="shared" ref="J1386:M1386" si="393">J1389+J1388+J1387</f>
        <v>8466</v>
      </c>
      <c r="K1386" s="15">
        <f t="shared" si="393"/>
        <v>8466</v>
      </c>
      <c r="L1386" s="15">
        <f t="shared" si="393"/>
        <v>6800</v>
      </c>
      <c r="M1386" s="15">
        <f t="shared" si="393"/>
        <v>7800</v>
      </c>
      <c r="N1386" s="15"/>
      <c r="O1386" s="15"/>
      <c r="P1386" s="15"/>
      <c r="Q1386" s="15"/>
      <c r="R1386" s="15"/>
      <c r="T1386" s="15">
        <f t="shared" si="387"/>
        <v>8973</v>
      </c>
    </row>
    <row r="1387" spans="2:20" x14ac:dyDescent="0.25">
      <c r="B1387" s="97">
        <f t="shared" si="381"/>
        <v>599</v>
      </c>
      <c r="C1387" s="9"/>
      <c r="D1387" s="9"/>
      <c r="E1387" s="9"/>
      <c r="F1387" s="54" t="s">
        <v>363</v>
      </c>
      <c r="G1387" s="126">
        <v>632</v>
      </c>
      <c r="H1387" s="9" t="s">
        <v>314</v>
      </c>
      <c r="I1387" s="10">
        <v>6703</v>
      </c>
      <c r="J1387" s="10">
        <v>6324</v>
      </c>
      <c r="K1387" s="10">
        <v>6324</v>
      </c>
      <c r="L1387" s="10">
        <v>4000</v>
      </c>
      <c r="M1387" s="10">
        <v>5210</v>
      </c>
      <c r="N1387" s="10"/>
      <c r="O1387" s="10"/>
      <c r="P1387" s="10"/>
      <c r="Q1387" s="10"/>
      <c r="R1387" s="10"/>
      <c r="T1387" s="10">
        <f t="shared" si="387"/>
        <v>6703</v>
      </c>
    </row>
    <row r="1388" spans="2:20" x14ac:dyDescent="0.25">
      <c r="B1388" s="97">
        <f t="shared" si="381"/>
        <v>600</v>
      </c>
      <c r="C1388" s="9"/>
      <c r="D1388" s="9"/>
      <c r="E1388" s="9"/>
      <c r="F1388" s="54" t="s">
        <v>363</v>
      </c>
      <c r="G1388" s="126">
        <v>633</v>
      </c>
      <c r="H1388" s="9" t="s">
        <v>305</v>
      </c>
      <c r="I1388" s="10">
        <v>1027</v>
      </c>
      <c r="J1388" s="10">
        <v>969</v>
      </c>
      <c r="K1388" s="10">
        <v>969</v>
      </c>
      <c r="L1388" s="10">
        <v>950</v>
      </c>
      <c r="M1388" s="10">
        <v>880</v>
      </c>
      <c r="N1388" s="10"/>
      <c r="O1388" s="10"/>
      <c r="P1388" s="10"/>
      <c r="Q1388" s="10"/>
      <c r="R1388" s="10"/>
      <c r="T1388" s="10">
        <f t="shared" si="387"/>
        <v>1027</v>
      </c>
    </row>
    <row r="1389" spans="2:20" x14ac:dyDescent="0.25">
      <c r="B1389" s="97">
        <f t="shared" si="381"/>
        <v>601</v>
      </c>
      <c r="C1389" s="9"/>
      <c r="D1389" s="9"/>
      <c r="E1389" s="9"/>
      <c r="F1389" s="54" t="s">
        <v>363</v>
      </c>
      <c r="G1389" s="126">
        <v>637</v>
      </c>
      <c r="H1389" s="9" t="s">
        <v>308</v>
      </c>
      <c r="I1389" s="10">
        <v>1243</v>
      </c>
      <c r="J1389" s="10">
        <v>1173</v>
      </c>
      <c r="K1389" s="10">
        <v>1173</v>
      </c>
      <c r="L1389" s="10">
        <v>1850</v>
      </c>
      <c r="M1389" s="10">
        <v>1710</v>
      </c>
      <c r="N1389" s="10"/>
      <c r="O1389" s="10"/>
      <c r="P1389" s="10"/>
      <c r="Q1389" s="10"/>
      <c r="R1389" s="10"/>
      <c r="T1389" s="10">
        <f t="shared" si="387"/>
        <v>1243</v>
      </c>
    </row>
    <row r="1390" spans="2:20" x14ac:dyDescent="0.25">
      <c r="B1390" s="97">
        <f t="shared" si="381"/>
        <v>602</v>
      </c>
      <c r="C1390" s="29"/>
      <c r="D1390" s="29"/>
      <c r="E1390" s="29"/>
      <c r="F1390" s="53" t="s">
        <v>363</v>
      </c>
      <c r="G1390" s="125">
        <v>640</v>
      </c>
      <c r="H1390" s="29" t="s">
        <v>315</v>
      </c>
      <c r="I1390" s="15">
        <v>340</v>
      </c>
      <c r="J1390" s="15">
        <v>321</v>
      </c>
      <c r="K1390" s="15">
        <v>321</v>
      </c>
      <c r="L1390" s="15">
        <v>100</v>
      </c>
      <c r="M1390" s="15">
        <v>206</v>
      </c>
      <c r="N1390" s="15"/>
      <c r="O1390" s="15"/>
      <c r="P1390" s="15"/>
      <c r="Q1390" s="15"/>
      <c r="R1390" s="15"/>
      <c r="T1390" s="15">
        <f t="shared" si="387"/>
        <v>340</v>
      </c>
    </row>
    <row r="1391" spans="2:20" x14ac:dyDescent="0.25">
      <c r="B1391" s="97">
        <f t="shared" si="381"/>
        <v>603</v>
      </c>
      <c r="C1391" s="49"/>
      <c r="D1391" s="49"/>
      <c r="E1391" s="49">
        <v>7</v>
      </c>
      <c r="F1391" s="49"/>
      <c r="G1391" s="123"/>
      <c r="H1391" s="49" t="s">
        <v>185</v>
      </c>
      <c r="I1391" s="50">
        <f>I1393+I1395+I1394+I1399</f>
        <v>106886</v>
      </c>
      <c r="J1391" s="50">
        <f t="shared" ref="J1391:R1391" si="394">J1392</f>
        <v>100965</v>
      </c>
      <c r="K1391" s="50">
        <f t="shared" si="394"/>
        <v>100965</v>
      </c>
      <c r="L1391" s="50">
        <f t="shared" si="394"/>
        <v>95381</v>
      </c>
      <c r="M1391" s="50">
        <f t="shared" si="394"/>
        <v>84945</v>
      </c>
      <c r="N1391" s="50">
        <v>0</v>
      </c>
      <c r="O1391" s="50">
        <f t="shared" si="394"/>
        <v>0</v>
      </c>
      <c r="P1391" s="50">
        <f t="shared" si="394"/>
        <v>0</v>
      </c>
      <c r="Q1391" s="50">
        <f t="shared" si="394"/>
        <v>0</v>
      </c>
      <c r="R1391" s="50">
        <f t="shared" si="394"/>
        <v>0</v>
      </c>
      <c r="T1391" s="50">
        <f t="shared" si="387"/>
        <v>106886</v>
      </c>
    </row>
    <row r="1392" spans="2:20" hidden="1" x14ac:dyDescent="0.25">
      <c r="B1392" s="97">
        <f t="shared" si="381"/>
        <v>604</v>
      </c>
      <c r="C1392" s="51"/>
      <c r="D1392" s="51"/>
      <c r="E1392" s="51" t="s">
        <v>60</v>
      </c>
      <c r="F1392" s="51"/>
      <c r="G1392" s="124"/>
      <c r="H1392" s="51"/>
      <c r="I1392" s="52" t="e">
        <f>#REF!+#REF!</f>
        <v>#REF!</v>
      </c>
      <c r="J1392" s="52">
        <f t="shared" ref="J1392:R1392" si="395">J1399+J1395+J1394+J1393</f>
        <v>100965</v>
      </c>
      <c r="K1392" s="52">
        <f t="shared" si="395"/>
        <v>100965</v>
      </c>
      <c r="L1392" s="52">
        <f t="shared" si="395"/>
        <v>95381</v>
      </c>
      <c r="M1392" s="52">
        <f t="shared" si="395"/>
        <v>84945</v>
      </c>
      <c r="N1392" s="52"/>
      <c r="O1392" s="52">
        <f t="shared" si="395"/>
        <v>0</v>
      </c>
      <c r="P1392" s="52">
        <f t="shared" si="395"/>
        <v>0</v>
      </c>
      <c r="Q1392" s="52">
        <f t="shared" si="395"/>
        <v>0</v>
      </c>
      <c r="R1392" s="52">
        <f t="shared" si="395"/>
        <v>0</v>
      </c>
      <c r="T1392" s="52" t="e">
        <f t="shared" si="387"/>
        <v>#REF!</v>
      </c>
    </row>
    <row r="1393" spans="2:20" x14ac:dyDescent="0.25">
      <c r="B1393" s="97">
        <f t="shared" si="381"/>
        <v>605</v>
      </c>
      <c r="C1393" s="29"/>
      <c r="D1393" s="29"/>
      <c r="E1393" s="29"/>
      <c r="F1393" s="53" t="s">
        <v>363</v>
      </c>
      <c r="G1393" s="125">
        <v>610</v>
      </c>
      <c r="H1393" s="29" t="s">
        <v>338</v>
      </c>
      <c r="I1393" s="15">
        <v>73039</v>
      </c>
      <c r="J1393" s="15">
        <v>68905</v>
      </c>
      <c r="K1393" s="15">
        <v>68905</v>
      </c>
      <c r="L1393" s="15">
        <v>67333</v>
      </c>
      <c r="M1393" s="15">
        <v>60614</v>
      </c>
      <c r="N1393" s="15"/>
      <c r="O1393" s="15"/>
      <c r="P1393" s="15"/>
      <c r="Q1393" s="15"/>
      <c r="R1393" s="15"/>
      <c r="T1393" s="15">
        <f t="shared" si="387"/>
        <v>73039</v>
      </c>
    </row>
    <row r="1394" spans="2:20" x14ac:dyDescent="0.25">
      <c r="B1394" s="97">
        <f t="shared" si="381"/>
        <v>606</v>
      </c>
      <c r="C1394" s="29"/>
      <c r="D1394" s="29"/>
      <c r="E1394" s="29"/>
      <c r="F1394" s="53" t="s">
        <v>363</v>
      </c>
      <c r="G1394" s="125">
        <v>620</v>
      </c>
      <c r="H1394" s="29" t="s">
        <v>313</v>
      </c>
      <c r="I1394" s="15">
        <v>25705</v>
      </c>
      <c r="J1394" s="15">
        <v>24250</v>
      </c>
      <c r="K1394" s="15">
        <v>24250</v>
      </c>
      <c r="L1394" s="15">
        <v>23698</v>
      </c>
      <c r="M1394" s="15">
        <v>22531</v>
      </c>
      <c r="N1394" s="15"/>
      <c r="O1394" s="15"/>
      <c r="P1394" s="15"/>
      <c r="Q1394" s="15"/>
      <c r="R1394" s="15"/>
      <c r="T1394" s="15">
        <f t="shared" si="387"/>
        <v>25705</v>
      </c>
    </row>
    <row r="1395" spans="2:20" x14ac:dyDescent="0.25">
      <c r="B1395" s="97">
        <f t="shared" si="381"/>
        <v>607</v>
      </c>
      <c r="C1395" s="29"/>
      <c r="D1395" s="29"/>
      <c r="E1395" s="29"/>
      <c r="F1395" s="53" t="s">
        <v>363</v>
      </c>
      <c r="G1395" s="125">
        <v>630</v>
      </c>
      <c r="H1395" s="29" t="s">
        <v>303</v>
      </c>
      <c r="I1395" s="15">
        <f>I1396+I1397+I1398</f>
        <v>5872</v>
      </c>
      <c r="J1395" s="15">
        <f t="shared" ref="J1395:M1395" si="396">J1398+J1397+J1396</f>
        <v>5540</v>
      </c>
      <c r="K1395" s="15">
        <f t="shared" si="396"/>
        <v>5540</v>
      </c>
      <c r="L1395" s="15">
        <f t="shared" si="396"/>
        <v>3800</v>
      </c>
      <c r="M1395" s="15">
        <f t="shared" si="396"/>
        <v>800</v>
      </c>
      <c r="N1395" s="15"/>
      <c r="O1395" s="15"/>
      <c r="P1395" s="15"/>
      <c r="Q1395" s="15"/>
      <c r="R1395" s="15"/>
      <c r="T1395" s="15">
        <f t="shared" si="387"/>
        <v>5872</v>
      </c>
    </row>
    <row r="1396" spans="2:20" x14ac:dyDescent="0.25">
      <c r="B1396" s="97">
        <f t="shared" si="381"/>
        <v>608</v>
      </c>
      <c r="C1396" s="9"/>
      <c r="D1396" s="9"/>
      <c r="E1396" s="9"/>
      <c r="F1396" s="54" t="s">
        <v>363</v>
      </c>
      <c r="G1396" s="126">
        <v>632</v>
      </c>
      <c r="H1396" s="9" t="s">
        <v>314</v>
      </c>
      <c r="I1396" s="10">
        <v>1000</v>
      </c>
      <c r="J1396" s="10">
        <v>1000</v>
      </c>
      <c r="K1396" s="10">
        <v>1000</v>
      </c>
      <c r="L1396" s="10">
        <v>1000</v>
      </c>
      <c r="M1396" s="10">
        <v>0</v>
      </c>
      <c r="N1396" s="10"/>
      <c r="O1396" s="10"/>
      <c r="P1396" s="10"/>
      <c r="Q1396" s="10"/>
      <c r="R1396" s="10"/>
      <c r="T1396" s="10">
        <f t="shared" si="387"/>
        <v>1000</v>
      </c>
    </row>
    <row r="1397" spans="2:20" x14ac:dyDescent="0.25">
      <c r="B1397" s="97">
        <f t="shared" si="381"/>
        <v>609</v>
      </c>
      <c r="C1397" s="9"/>
      <c r="D1397" s="9"/>
      <c r="E1397" s="9"/>
      <c r="F1397" s="54" t="s">
        <v>363</v>
      </c>
      <c r="G1397" s="126">
        <v>633</v>
      </c>
      <c r="H1397" s="9" t="s">
        <v>305</v>
      </c>
      <c r="I1397" s="10">
        <v>2372</v>
      </c>
      <c r="J1397" s="10">
        <v>2040</v>
      </c>
      <c r="K1397" s="10">
        <v>2040</v>
      </c>
      <c r="L1397" s="10">
        <v>1000</v>
      </c>
      <c r="M1397" s="10">
        <v>800</v>
      </c>
      <c r="N1397" s="10"/>
      <c r="O1397" s="10"/>
      <c r="P1397" s="10"/>
      <c r="Q1397" s="10"/>
      <c r="R1397" s="10"/>
      <c r="T1397" s="10">
        <f t="shared" si="387"/>
        <v>2372</v>
      </c>
    </row>
    <row r="1398" spans="2:20" x14ac:dyDescent="0.25">
      <c r="B1398" s="97">
        <f t="shared" si="381"/>
        <v>610</v>
      </c>
      <c r="C1398" s="9"/>
      <c r="D1398" s="9"/>
      <c r="E1398" s="9"/>
      <c r="F1398" s="54" t="s">
        <v>363</v>
      </c>
      <c r="G1398" s="126">
        <v>637</v>
      </c>
      <c r="H1398" s="9" t="s">
        <v>308</v>
      </c>
      <c r="I1398" s="10">
        <v>2500</v>
      </c>
      <c r="J1398" s="10">
        <v>2500</v>
      </c>
      <c r="K1398" s="10">
        <v>2500</v>
      </c>
      <c r="L1398" s="10">
        <v>1800</v>
      </c>
      <c r="M1398" s="10">
        <v>0</v>
      </c>
      <c r="N1398" s="10"/>
      <c r="O1398" s="10"/>
      <c r="P1398" s="10"/>
      <c r="Q1398" s="10"/>
      <c r="R1398" s="10"/>
      <c r="T1398" s="10">
        <f t="shared" si="387"/>
        <v>2500</v>
      </c>
    </row>
    <row r="1399" spans="2:20" x14ac:dyDescent="0.25">
      <c r="B1399" s="97">
        <f t="shared" si="381"/>
        <v>611</v>
      </c>
      <c r="C1399" s="29"/>
      <c r="D1399" s="29"/>
      <c r="E1399" s="29"/>
      <c r="F1399" s="53" t="s">
        <v>363</v>
      </c>
      <c r="G1399" s="125">
        <v>640</v>
      </c>
      <c r="H1399" s="29" t="s">
        <v>315</v>
      </c>
      <c r="I1399" s="15">
        <v>2270</v>
      </c>
      <c r="J1399" s="15">
        <v>2270</v>
      </c>
      <c r="K1399" s="15">
        <v>2270</v>
      </c>
      <c r="L1399" s="15">
        <v>550</v>
      </c>
      <c r="M1399" s="15">
        <v>1000</v>
      </c>
      <c r="N1399" s="15"/>
      <c r="O1399" s="15"/>
      <c r="P1399" s="15"/>
      <c r="Q1399" s="15"/>
      <c r="R1399" s="15"/>
      <c r="T1399" s="15">
        <f t="shared" si="387"/>
        <v>2270</v>
      </c>
    </row>
    <row r="1400" spans="2:20" x14ac:dyDescent="0.25">
      <c r="B1400" s="97">
        <f t="shared" si="381"/>
        <v>612</v>
      </c>
      <c r="C1400" s="49"/>
      <c r="D1400" s="49"/>
      <c r="E1400" s="49">
        <v>8</v>
      </c>
      <c r="F1400" s="49"/>
      <c r="G1400" s="123"/>
      <c r="H1400" s="49" t="s">
        <v>186</v>
      </c>
      <c r="I1400" s="50">
        <f>I1402+I1403+I1404+I1408</f>
        <v>164410</v>
      </c>
      <c r="J1400" s="50">
        <f t="shared" ref="J1400:R1400" si="397">J1401</f>
        <v>155095</v>
      </c>
      <c r="K1400" s="50">
        <f t="shared" si="397"/>
        <v>156295</v>
      </c>
      <c r="L1400" s="50">
        <f t="shared" si="397"/>
        <v>145431</v>
      </c>
      <c r="M1400" s="50">
        <f t="shared" si="397"/>
        <v>132410</v>
      </c>
      <c r="N1400" s="50">
        <v>0</v>
      </c>
      <c r="O1400" s="50">
        <f t="shared" si="397"/>
        <v>0</v>
      </c>
      <c r="P1400" s="50">
        <f t="shared" si="397"/>
        <v>0</v>
      </c>
      <c r="Q1400" s="50">
        <f t="shared" si="397"/>
        <v>0</v>
      </c>
      <c r="R1400" s="50">
        <f t="shared" si="397"/>
        <v>0</v>
      </c>
      <c r="T1400" s="50">
        <f t="shared" si="387"/>
        <v>164410</v>
      </c>
    </row>
    <row r="1401" spans="2:20" hidden="1" x14ac:dyDescent="0.25">
      <c r="B1401" s="97">
        <f t="shared" si="381"/>
        <v>613</v>
      </c>
      <c r="C1401" s="51"/>
      <c r="D1401" s="51"/>
      <c r="E1401" s="51" t="s">
        <v>60</v>
      </c>
      <c r="F1401" s="51"/>
      <c r="G1401" s="124"/>
      <c r="H1401" s="51"/>
      <c r="I1401" s="52" t="e">
        <f>#REF!+#REF!</f>
        <v>#REF!</v>
      </c>
      <c r="J1401" s="52">
        <f t="shared" ref="J1401:R1401" si="398">J1408+J1404+J1403+J1402</f>
        <v>155095</v>
      </c>
      <c r="K1401" s="52">
        <f t="shared" si="398"/>
        <v>156295</v>
      </c>
      <c r="L1401" s="52">
        <f t="shared" si="398"/>
        <v>145431</v>
      </c>
      <c r="M1401" s="52">
        <f t="shared" si="398"/>
        <v>132410</v>
      </c>
      <c r="N1401" s="52"/>
      <c r="O1401" s="52">
        <f t="shared" si="398"/>
        <v>0</v>
      </c>
      <c r="P1401" s="52">
        <f t="shared" si="398"/>
        <v>0</v>
      </c>
      <c r="Q1401" s="52">
        <f t="shared" si="398"/>
        <v>0</v>
      </c>
      <c r="R1401" s="52">
        <f t="shared" si="398"/>
        <v>0</v>
      </c>
      <c r="T1401" s="52" t="e">
        <f t="shared" si="387"/>
        <v>#REF!</v>
      </c>
    </row>
    <row r="1402" spans="2:20" x14ac:dyDescent="0.25">
      <c r="B1402" s="97">
        <f t="shared" si="381"/>
        <v>614</v>
      </c>
      <c r="C1402" s="29"/>
      <c r="D1402" s="29"/>
      <c r="E1402" s="29"/>
      <c r="F1402" s="53" t="s">
        <v>363</v>
      </c>
      <c r="G1402" s="125">
        <v>610</v>
      </c>
      <c r="H1402" s="29" t="s">
        <v>338</v>
      </c>
      <c r="I1402" s="15">
        <v>112660</v>
      </c>
      <c r="J1402" s="15">
        <v>106283</v>
      </c>
      <c r="K1402" s="15">
        <f>106283+900</f>
        <v>107183</v>
      </c>
      <c r="L1402" s="15">
        <v>99198</v>
      </c>
      <c r="M1402" s="15">
        <v>89909</v>
      </c>
      <c r="N1402" s="15"/>
      <c r="O1402" s="15"/>
      <c r="P1402" s="15"/>
      <c r="Q1402" s="15"/>
      <c r="R1402" s="15"/>
      <c r="T1402" s="15">
        <f t="shared" si="387"/>
        <v>112660</v>
      </c>
    </row>
    <row r="1403" spans="2:20" x14ac:dyDescent="0.25">
      <c r="B1403" s="97">
        <f t="shared" si="381"/>
        <v>615</v>
      </c>
      <c r="C1403" s="29"/>
      <c r="D1403" s="29"/>
      <c r="E1403" s="29"/>
      <c r="F1403" s="53" t="s">
        <v>363</v>
      </c>
      <c r="G1403" s="125">
        <v>620</v>
      </c>
      <c r="H1403" s="29" t="s">
        <v>313</v>
      </c>
      <c r="I1403" s="15">
        <v>39675</v>
      </c>
      <c r="J1403" s="15">
        <v>37424</v>
      </c>
      <c r="K1403" s="15">
        <f>37424+300</f>
        <v>37724</v>
      </c>
      <c r="L1403" s="15">
        <v>35388</v>
      </c>
      <c r="M1403" s="15">
        <v>32186</v>
      </c>
      <c r="N1403" s="15"/>
      <c r="O1403" s="15"/>
      <c r="P1403" s="15"/>
      <c r="Q1403" s="15"/>
      <c r="R1403" s="15"/>
      <c r="T1403" s="15">
        <f t="shared" si="387"/>
        <v>39675</v>
      </c>
    </row>
    <row r="1404" spans="2:20" x14ac:dyDescent="0.25">
      <c r="B1404" s="97">
        <f t="shared" si="381"/>
        <v>616</v>
      </c>
      <c r="C1404" s="29"/>
      <c r="D1404" s="29"/>
      <c r="E1404" s="29"/>
      <c r="F1404" s="53" t="s">
        <v>363</v>
      </c>
      <c r="G1404" s="125">
        <v>630</v>
      </c>
      <c r="H1404" s="29" t="s">
        <v>303</v>
      </c>
      <c r="I1404" s="15">
        <f>I1405+I1406+I1407</f>
        <v>11165</v>
      </c>
      <c r="J1404" s="15">
        <f t="shared" ref="J1404:M1404" si="399">J1407+J1406+J1405</f>
        <v>10532</v>
      </c>
      <c r="K1404" s="15">
        <f t="shared" si="399"/>
        <v>10532</v>
      </c>
      <c r="L1404" s="15">
        <f t="shared" si="399"/>
        <v>10325</v>
      </c>
      <c r="M1404" s="15">
        <f t="shared" si="399"/>
        <v>9825</v>
      </c>
      <c r="N1404" s="15"/>
      <c r="O1404" s="15"/>
      <c r="P1404" s="15"/>
      <c r="Q1404" s="15"/>
      <c r="R1404" s="15"/>
      <c r="T1404" s="15">
        <f t="shared" si="387"/>
        <v>11165</v>
      </c>
    </row>
    <row r="1405" spans="2:20" x14ac:dyDescent="0.25">
      <c r="B1405" s="97">
        <f t="shared" si="381"/>
        <v>617</v>
      </c>
      <c r="C1405" s="9"/>
      <c r="D1405" s="9"/>
      <c r="E1405" s="9"/>
      <c r="F1405" s="54" t="s">
        <v>363</v>
      </c>
      <c r="G1405" s="126">
        <v>632</v>
      </c>
      <c r="H1405" s="9" t="s">
        <v>314</v>
      </c>
      <c r="I1405" s="10">
        <v>7030</v>
      </c>
      <c r="J1405" s="10">
        <v>6630</v>
      </c>
      <c r="K1405" s="10">
        <v>6630</v>
      </c>
      <c r="L1405" s="10">
        <v>6501</v>
      </c>
      <c r="M1405" s="10">
        <v>6520</v>
      </c>
      <c r="N1405" s="10"/>
      <c r="O1405" s="10"/>
      <c r="P1405" s="10"/>
      <c r="Q1405" s="10"/>
      <c r="R1405" s="10"/>
      <c r="T1405" s="10">
        <f t="shared" si="387"/>
        <v>7030</v>
      </c>
    </row>
    <row r="1406" spans="2:20" x14ac:dyDescent="0.25">
      <c r="B1406" s="97">
        <f t="shared" si="381"/>
        <v>618</v>
      </c>
      <c r="C1406" s="9"/>
      <c r="D1406" s="9"/>
      <c r="E1406" s="9"/>
      <c r="F1406" s="54" t="s">
        <v>363</v>
      </c>
      <c r="G1406" s="126">
        <v>633</v>
      </c>
      <c r="H1406" s="9" t="s">
        <v>305</v>
      </c>
      <c r="I1406" s="10">
        <v>600</v>
      </c>
      <c r="J1406" s="10">
        <v>408</v>
      </c>
      <c r="K1406" s="10">
        <v>408</v>
      </c>
      <c r="L1406" s="10">
        <v>400</v>
      </c>
      <c r="M1406" s="10">
        <v>84</v>
      </c>
      <c r="N1406" s="10"/>
      <c r="O1406" s="10"/>
      <c r="P1406" s="10"/>
      <c r="Q1406" s="10"/>
      <c r="R1406" s="10"/>
      <c r="T1406" s="10">
        <f t="shared" si="387"/>
        <v>600</v>
      </c>
    </row>
    <row r="1407" spans="2:20" x14ac:dyDescent="0.25">
      <c r="B1407" s="97">
        <f t="shared" si="381"/>
        <v>619</v>
      </c>
      <c r="C1407" s="9"/>
      <c r="D1407" s="9"/>
      <c r="E1407" s="9"/>
      <c r="F1407" s="54" t="s">
        <v>363</v>
      </c>
      <c r="G1407" s="126">
        <v>637</v>
      </c>
      <c r="H1407" s="9" t="s">
        <v>308</v>
      </c>
      <c r="I1407" s="10">
        <v>3535</v>
      </c>
      <c r="J1407" s="10">
        <v>3494</v>
      </c>
      <c r="K1407" s="10">
        <v>3494</v>
      </c>
      <c r="L1407" s="10">
        <v>3424</v>
      </c>
      <c r="M1407" s="10">
        <v>3221</v>
      </c>
      <c r="N1407" s="10"/>
      <c r="O1407" s="10"/>
      <c r="P1407" s="10"/>
      <c r="Q1407" s="10"/>
      <c r="R1407" s="10"/>
      <c r="T1407" s="10">
        <f t="shared" si="387"/>
        <v>3535</v>
      </c>
    </row>
    <row r="1408" spans="2:20" x14ac:dyDescent="0.25">
      <c r="B1408" s="97">
        <f t="shared" ref="B1408:B1471" si="400">B1407+1</f>
        <v>620</v>
      </c>
      <c r="C1408" s="29"/>
      <c r="D1408" s="29"/>
      <c r="E1408" s="29"/>
      <c r="F1408" s="53" t="s">
        <v>363</v>
      </c>
      <c r="G1408" s="125">
        <v>640</v>
      </c>
      <c r="H1408" s="29" t="s">
        <v>315</v>
      </c>
      <c r="I1408" s="15">
        <v>910</v>
      </c>
      <c r="J1408" s="15">
        <v>856</v>
      </c>
      <c r="K1408" s="15">
        <v>856</v>
      </c>
      <c r="L1408" s="15">
        <v>520</v>
      </c>
      <c r="M1408" s="15">
        <v>490</v>
      </c>
      <c r="N1408" s="15"/>
      <c r="O1408" s="15"/>
      <c r="P1408" s="15"/>
      <c r="Q1408" s="15"/>
      <c r="R1408" s="15"/>
      <c r="T1408" s="15">
        <f t="shared" si="387"/>
        <v>910</v>
      </c>
    </row>
    <row r="1409" spans="2:20" x14ac:dyDescent="0.25">
      <c r="B1409" s="97">
        <f t="shared" si="400"/>
        <v>621</v>
      </c>
      <c r="C1409" s="49"/>
      <c r="D1409" s="49"/>
      <c r="E1409" s="49">
        <v>9</v>
      </c>
      <c r="F1409" s="49"/>
      <c r="G1409" s="123"/>
      <c r="H1409" s="49" t="s">
        <v>187</v>
      </c>
      <c r="I1409" s="50">
        <f>I1411+I1412+I1413</f>
        <v>59281</v>
      </c>
      <c r="J1409" s="50">
        <f t="shared" ref="J1409:R1409" si="401">J1410</f>
        <v>49405</v>
      </c>
      <c r="K1409" s="50">
        <f t="shared" si="401"/>
        <v>49405</v>
      </c>
      <c r="L1409" s="50">
        <f t="shared" si="401"/>
        <v>46296.08</v>
      </c>
      <c r="M1409" s="50">
        <f t="shared" si="401"/>
        <v>43125</v>
      </c>
      <c r="N1409" s="50">
        <v>0</v>
      </c>
      <c r="O1409" s="50">
        <f t="shared" si="401"/>
        <v>0</v>
      </c>
      <c r="P1409" s="50">
        <f t="shared" si="401"/>
        <v>0</v>
      </c>
      <c r="Q1409" s="50">
        <f t="shared" si="401"/>
        <v>0</v>
      </c>
      <c r="R1409" s="50">
        <f t="shared" si="401"/>
        <v>0</v>
      </c>
      <c r="T1409" s="50">
        <f t="shared" si="387"/>
        <v>59281</v>
      </c>
    </row>
    <row r="1410" spans="2:20" hidden="1" x14ac:dyDescent="0.25">
      <c r="B1410" s="97">
        <f t="shared" si="400"/>
        <v>622</v>
      </c>
      <c r="C1410" s="51"/>
      <c r="D1410" s="51"/>
      <c r="E1410" s="51" t="s">
        <v>60</v>
      </c>
      <c r="F1410" s="51"/>
      <c r="G1410" s="124"/>
      <c r="H1410" s="51"/>
      <c r="I1410" s="52" t="e">
        <f>#REF!+#REF!</f>
        <v>#REF!</v>
      </c>
      <c r="J1410" s="52">
        <f t="shared" ref="J1410:R1410" si="402">J1413+J1412+J1411</f>
        <v>49405</v>
      </c>
      <c r="K1410" s="52">
        <f t="shared" si="402"/>
        <v>49405</v>
      </c>
      <c r="L1410" s="52">
        <f t="shared" si="402"/>
        <v>46296.08</v>
      </c>
      <c r="M1410" s="52">
        <f t="shared" si="402"/>
        <v>43125</v>
      </c>
      <c r="N1410" s="52"/>
      <c r="O1410" s="52">
        <f t="shared" si="402"/>
        <v>0</v>
      </c>
      <c r="P1410" s="52">
        <f t="shared" si="402"/>
        <v>0</v>
      </c>
      <c r="Q1410" s="52">
        <f t="shared" si="402"/>
        <v>0</v>
      </c>
      <c r="R1410" s="52">
        <f t="shared" si="402"/>
        <v>0</v>
      </c>
      <c r="T1410" s="52" t="e">
        <f t="shared" si="387"/>
        <v>#REF!</v>
      </c>
    </row>
    <row r="1411" spans="2:20" x14ac:dyDescent="0.25">
      <c r="B1411" s="97">
        <f t="shared" si="400"/>
        <v>623</v>
      </c>
      <c r="C1411" s="29"/>
      <c r="D1411" s="29"/>
      <c r="E1411" s="29"/>
      <c r="F1411" s="53" t="s">
        <v>363</v>
      </c>
      <c r="G1411" s="125">
        <v>610</v>
      </c>
      <c r="H1411" s="29" t="s">
        <v>338</v>
      </c>
      <c r="I1411" s="15">
        <v>38000</v>
      </c>
      <c r="J1411" s="15">
        <v>34654</v>
      </c>
      <c r="K1411" s="15">
        <v>34654</v>
      </c>
      <c r="L1411" s="15">
        <v>31949</v>
      </c>
      <c r="M1411" s="15">
        <v>29410</v>
      </c>
      <c r="N1411" s="15"/>
      <c r="O1411" s="15"/>
      <c r="P1411" s="15"/>
      <c r="Q1411" s="15"/>
      <c r="R1411" s="15"/>
      <c r="T1411" s="15">
        <f t="shared" si="387"/>
        <v>38000</v>
      </c>
    </row>
    <row r="1412" spans="2:20" x14ac:dyDescent="0.25">
      <c r="B1412" s="97">
        <f t="shared" si="400"/>
        <v>624</v>
      </c>
      <c r="C1412" s="29"/>
      <c r="D1412" s="29"/>
      <c r="E1412" s="29"/>
      <c r="F1412" s="53" t="s">
        <v>363</v>
      </c>
      <c r="G1412" s="125">
        <v>620</v>
      </c>
      <c r="H1412" s="29" t="s">
        <v>313</v>
      </c>
      <c r="I1412" s="15">
        <v>13781</v>
      </c>
      <c r="J1412" s="15">
        <v>12111</v>
      </c>
      <c r="K1412" s="15">
        <v>12111</v>
      </c>
      <c r="L1412" s="15">
        <v>11757.34</v>
      </c>
      <c r="M1412" s="15">
        <v>10670</v>
      </c>
      <c r="N1412" s="15"/>
      <c r="O1412" s="15"/>
      <c r="P1412" s="15"/>
      <c r="Q1412" s="15"/>
      <c r="R1412" s="15"/>
      <c r="T1412" s="15">
        <f t="shared" si="387"/>
        <v>13781</v>
      </c>
    </row>
    <row r="1413" spans="2:20" x14ac:dyDescent="0.25">
      <c r="B1413" s="97">
        <f t="shared" si="400"/>
        <v>625</v>
      </c>
      <c r="C1413" s="29"/>
      <c r="D1413" s="29"/>
      <c r="E1413" s="29"/>
      <c r="F1413" s="53" t="s">
        <v>363</v>
      </c>
      <c r="G1413" s="125">
        <v>630</v>
      </c>
      <c r="H1413" s="29" t="s">
        <v>303</v>
      </c>
      <c r="I1413" s="15">
        <f>I1414+I1415+I1416+I1417</f>
        <v>7500</v>
      </c>
      <c r="J1413" s="15">
        <f t="shared" ref="J1413:M1413" si="403">J1417+J1416+J1415+J1414</f>
        <v>2640</v>
      </c>
      <c r="K1413" s="15">
        <f t="shared" si="403"/>
        <v>2640</v>
      </c>
      <c r="L1413" s="15">
        <f t="shared" si="403"/>
        <v>2589.7399999999998</v>
      </c>
      <c r="M1413" s="15">
        <f t="shared" si="403"/>
        <v>3045</v>
      </c>
      <c r="N1413" s="15"/>
      <c r="O1413" s="15"/>
      <c r="P1413" s="15"/>
      <c r="Q1413" s="15"/>
      <c r="R1413" s="15"/>
      <c r="T1413" s="15">
        <f t="shared" si="387"/>
        <v>7500</v>
      </c>
    </row>
    <row r="1414" spans="2:20" x14ac:dyDescent="0.25">
      <c r="B1414" s="97">
        <f t="shared" si="400"/>
        <v>626</v>
      </c>
      <c r="C1414" s="9"/>
      <c r="D1414" s="9"/>
      <c r="E1414" s="9"/>
      <c r="F1414" s="54" t="s">
        <v>363</v>
      </c>
      <c r="G1414" s="126">
        <v>632</v>
      </c>
      <c r="H1414" s="9" t="s">
        <v>314</v>
      </c>
      <c r="I1414" s="10">
        <v>2000</v>
      </c>
      <c r="J1414" s="10">
        <v>1700</v>
      </c>
      <c r="K1414" s="10">
        <v>1700</v>
      </c>
      <c r="L1414" s="10">
        <v>1142</v>
      </c>
      <c r="M1414" s="10">
        <v>2245</v>
      </c>
      <c r="N1414" s="10"/>
      <c r="O1414" s="10"/>
      <c r="P1414" s="10"/>
      <c r="Q1414" s="10"/>
      <c r="R1414" s="10"/>
      <c r="T1414" s="10">
        <f t="shared" si="387"/>
        <v>2000</v>
      </c>
    </row>
    <row r="1415" spans="2:20" x14ac:dyDescent="0.25">
      <c r="B1415" s="97">
        <f t="shared" si="400"/>
        <v>627</v>
      </c>
      <c r="C1415" s="9"/>
      <c r="D1415" s="9"/>
      <c r="E1415" s="9"/>
      <c r="F1415" s="54" t="s">
        <v>363</v>
      </c>
      <c r="G1415" s="126">
        <v>633</v>
      </c>
      <c r="H1415" s="9" t="s">
        <v>305</v>
      </c>
      <c r="I1415" s="10">
        <v>500</v>
      </c>
      <c r="J1415" s="10">
        <v>100</v>
      </c>
      <c r="K1415" s="10">
        <v>100</v>
      </c>
      <c r="L1415" s="10">
        <v>572</v>
      </c>
      <c r="M1415" s="10">
        <v>151</v>
      </c>
      <c r="N1415" s="10"/>
      <c r="O1415" s="10"/>
      <c r="P1415" s="10"/>
      <c r="Q1415" s="10"/>
      <c r="R1415" s="10"/>
      <c r="T1415" s="10">
        <f t="shared" si="387"/>
        <v>500</v>
      </c>
    </row>
    <row r="1416" spans="2:20" x14ac:dyDescent="0.25">
      <c r="B1416" s="97">
        <f t="shared" si="400"/>
        <v>628</v>
      </c>
      <c r="C1416" s="9"/>
      <c r="D1416" s="9"/>
      <c r="E1416" s="9"/>
      <c r="F1416" s="54" t="s">
        <v>363</v>
      </c>
      <c r="G1416" s="126">
        <v>635</v>
      </c>
      <c r="H1416" s="9" t="s">
        <v>320</v>
      </c>
      <c r="I1416" s="10">
        <v>4000</v>
      </c>
      <c r="J1416" s="10">
        <v>0</v>
      </c>
      <c r="K1416" s="10">
        <v>0</v>
      </c>
      <c r="L1416" s="10">
        <v>0</v>
      </c>
      <c r="M1416" s="10">
        <v>0</v>
      </c>
      <c r="N1416" s="10"/>
      <c r="O1416" s="10"/>
      <c r="P1416" s="10"/>
      <c r="Q1416" s="10"/>
      <c r="R1416" s="10"/>
      <c r="T1416" s="10">
        <f t="shared" si="387"/>
        <v>4000</v>
      </c>
    </row>
    <row r="1417" spans="2:20" x14ac:dyDescent="0.25">
      <c r="B1417" s="97">
        <f t="shared" si="400"/>
        <v>629</v>
      </c>
      <c r="C1417" s="9"/>
      <c r="D1417" s="9"/>
      <c r="E1417" s="9"/>
      <c r="F1417" s="54" t="s">
        <v>363</v>
      </c>
      <c r="G1417" s="126">
        <v>637</v>
      </c>
      <c r="H1417" s="9" t="s">
        <v>308</v>
      </c>
      <c r="I1417" s="10">
        <v>1000</v>
      </c>
      <c r="J1417" s="10">
        <v>840</v>
      </c>
      <c r="K1417" s="10">
        <v>840</v>
      </c>
      <c r="L1417" s="10">
        <v>875.74</v>
      </c>
      <c r="M1417" s="10">
        <v>649</v>
      </c>
      <c r="N1417" s="10"/>
      <c r="O1417" s="10"/>
      <c r="P1417" s="10"/>
      <c r="Q1417" s="10"/>
      <c r="R1417" s="10"/>
      <c r="T1417" s="10">
        <f t="shared" si="387"/>
        <v>1000</v>
      </c>
    </row>
    <row r="1418" spans="2:20" x14ac:dyDescent="0.25">
      <c r="B1418" s="97">
        <f t="shared" si="400"/>
        <v>630</v>
      </c>
      <c r="C1418" s="49"/>
      <c r="D1418" s="49"/>
      <c r="E1418" s="49">
        <v>10</v>
      </c>
      <c r="F1418" s="49"/>
      <c r="G1418" s="123"/>
      <c r="H1418" s="49" t="s">
        <v>188</v>
      </c>
      <c r="I1418" s="50">
        <f>I1420+I1421+I1422+I1426</f>
        <v>55960</v>
      </c>
      <c r="J1418" s="50">
        <f t="shared" ref="J1418:R1418" si="404">J1419</f>
        <v>38377</v>
      </c>
      <c r="K1418" s="50">
        <f t="shared" si="404"/>
        <v>41172</v>
      </c>
      <c r="L1418" s="50">
        <f t="shared" si="404"/>
        <v>36058</v>
      </c>
      <c r="M1418" s="50">
        <f t="shared" si="404"/>
        <v>34527</v>
      </c>
      <c r="N1418" s="50">
        <v>0</v>
      </c>
      <c r="O1418" s="50">
        <f t="shared" si="404"/>
        <v>0</v>
      </c>
      <c r="P1418" s="50">
        <f t="shared" si="404"/>
        <v>0</v>
      </c>
      <c r="Q1418" s="50">
        <f t="shared" si="404"/>
        <v>0</v>
      </c>
      <c r="R1418" s="50">
        <f t="shared" si="404"/>
        <v>0</v>
      </c>
      <c r="T1418" s="50">
        <f t="shared" si="387"/>
        <v>55960</v>
      </c>
    </row>
    <row r="1419" spans="2:20" hidden="1" x14ac:dyDescent="0.25">
      <c r="B1419" s="97">
        <f t="shared" si="400"/>
        <v>631</v>
      </c>
      <c r="C1419" s="51"/>
      <c r="D1419" s="51"/>
      <c r="E1419" s="51" t="s">
        <v>60</v>
      </c>
      <c r="F1419" s="51"/>
      <c r="G1419" s="124"/>
      <c r="H1419" s="51"/>
      <c r="I1419" s="52" t="e">
        <f>#REF!+#REF!</f>
        <v>#REF!</v>
      </c>
      <c r="J1419" s="52">
        <f t="shared" ref="J1419:R1419" si="405">J1426+J1422+J1421+J1420</f>
        <v>38377</v>
      </c>
      <c r="K1419" s="52">
        <f t="shared" si="405"/>
        <v>41172</v>
      </c>
      <c r="L1419" s="52">
        <f t="shared" si="405"/>
        <v>36058</v>
      </c>
      <c r="M1419" s="52">
        <f t="shared" si="405"/>
        <v>34527</v>
      </c>
      <c r="N1419" s="52"/>
      <c r="O1419" s="52">
        <f t="shared" si="405"/>
        <v>0</v>
      </c>
      <c r="P1419" s="52">
        <f t="shared" si="405"/>
        <v>0</v>
      </c>
      <c r="Q1419" s="52">
        <f t="shared" si="405"/>
        <v>0</v>
      </c>
      <c r="R1419" s="52">
        <f t="shared" si="405"/>
        <v>0</v>
      </c>
      <c r="T1419" s="52" t="e">
        <f t="shared" si="387"/>
        <v>#REF!</v>
      </c>
    </row>
    <row r="1420" spans="2:20" x14ac:dyDescent="0.25">
      <c r="B1420" s="97">
        <f t="shared" si="400"/>
        <v>632</v>
      </c>
      <c r="C1420" s="29"/>
      <c r="D1420" s="29"/>
      <c r="E1420" s="29"/>
      <c r="F1420" s="53" t="s">
        <v>363</v>
      </c>
      <c r="G1420" s="125">
        <v>610</v>
      </c>
      <c r="H1420" s="29" t="s">
        <v>338</v>
      </c>
      <c r="I1420" s="15">
        <v>35580</v>
      </c>
      <c r="J1420" s="15">
        <v>25358</v>
      </c>
      <c r="K1420" s="15">
        <v>27428</v>
      </c>
      <c r="L1420" s="15">
        <v>23932</v>
      </c>
      <c r="M1420" s="15">
        <v>22767</v>
      </c>
      <c r="N1420" s="15"/>
      <c r="O1420" s="15"/>
      <c r="P1420" s="15"/>
      <c r="Q1420" s="15"/>
      <c r="R1420" s="15"/>
      <c r="T1420" s="15">
        <f t="shared" si="387"/>
        <v>35580</v>
      </c>
    </row>
    <row r="1421" spans="2:20" x14ac:dyDescent="0.25">
      <c r="B1421" s="97">
        <f t="shared" si="400"/>
        <v>633</v>
      </c>
      <c r="C1421" s="29"/>
      <c r="D1421" s="29"/>
      <c r="E1421" s="29"/>
      <c r="F1421" s="53" t="s">
        <v>363</v>
      </c>
      <c r="G1421" s="125">
        <v>620</v>
      </c>
      <c r="H1421" s="29" t="s">
        <v>313</v>
      </c>
      <c r="I1421" s="15">
        <v>12970</v>
      </c>
      <c r="J1421" s="15">
        <v>8859</v>
      </c>
      <c r="K1421" s="15">
        <v>9584</v>
      </c>
      <c r="L1421" s="15">
        <v>8196</v>
      </c>
      <c r="M1421" s="15">
        <v>8039</v>
      </c>
      <c r="N1421" s="15"/>
      <c r="O1421" s="15"/>
      <c r="P1421" s="15"/>
      <c r="Q1421" s="15"/>
      <c r="R1421" s="15"/>
      <c r="T1421" s="15">
        <f t="shared" si="387"/>
        <v>12970</v>
      </c>
    </row>
    <row r="1422" spans="2:20" x14ac:dyDescent="0.25">
      <c r="B1422" s="97">
        <f t="shared" si="400"/>
        <v>634</v>
      </c>
      <c r="C1422" s="29"/>
      <c r="D1422" s="29"/>
      <c r="E1422" s="29"/>
      <c r="F1422" s="53" t="s">
        <v>363</v>
      </c>
      <c r="G1422" s="125">
        <v>630</v>
      </c>
      <c r="H1422" s="29" t="s">
        <v>303</v>
      </c>
      <c r="I1422" s="15">
        <f>I1423+I1424+I1425</f>
        <v>5670</v>
      </c>
      <c r="J1422" s="15">
        <f t="shared" ref="J1422:M1422" si="406">J1425+J1424+J1423</f>
        <v>4010</v>
      </c>
      <c r="K1422" s="15">
        <f t="shared" si="406"/>
        <v>4010</v>
      </c>
      <c r="L1422" s="15">
        <f t="shared" si="406"/>
        <v>3930</v>
      </c>
      <c r="M1422" s="15">
        <f t="shared" si="406"/>
        <v>3721</v>
      </c>
      <c r="N1422" s="15"/>
      <c r="O1422" s="15"/>
      <c r="P1422" s="15"/>
      <c r="Q1422" s="15"/>
      <c r="R1422" s="15"/>
      <c r="T1422" s="15">
        <f t="shared" si="387"/>
        <v>5670</v>
      </c>
    </row>
    <row r="1423" spans="2:20" x14ac:dyDescent="0.25">
      <c r="B1423" s="97">
        <f t="shared" si="400"/>
        <v>635</v>
      </c>
      <c r="C1423" s="9"/>
      <c r="D1423" s="9"/>
      <c r="E1423" s="9"/>
      <c r="F1423" s="54" t="s">
        <v>363</v>
      </c>
      <c r="G1423" s="126">
        <v>632</v>
      </c>
      <c r="H1423" s="9" t="s">
        <v>314</v>
      </c>
      <c r="I1423" s="10">
        <v>2000</v>
      </c>
      <c r="J1423" s="10">
        <v>1560</v>
      </c>
      <c r="K1423" s="10">
        <v>1560</v>
      </c>
      <c r="L1423" s="10">
        <v>1560</v>
      </c>
      <c r="M1423" s="10">
        <v>740</v>
      </c>
      <c r="N1423" s="10"/>
      <c r="O1423" s="10"/>
      <c r="P1423" s="10"/>
      <c r="Q1423" s="10"/>
      <c r="R1423" s="10"/>
      <c r="T1423" s="10">
        <f t="shared" si="387"/>
        <v>2000</v>
      </c>
    </row>
    <row r="1424" spans="2:20" x14ac:dyDescent="0.25">
      <c r="B1424" s="97">
        <f t="shared" si="400"/>
        <v>636</v>
      </c>
      <c r="C1424" s="9"/>
      <c r="D1424" s="9"/>
      <c r="E1424" s="9"/>
      <c r="F1424" s="54" t="s">
        <v>363</v>
      </c>
      <c r="G1424" s="126">
        <v>633</v>
      </c>
      <c r="H1424" s="9" t="s">
        <v>305</v>
      </c>
      <c r="I1424" s="10">
        <v>1670</v>
      </c>
      <c r="J1424" s="10">
        <v>760</v>
      </c>
      <c r="K1424" s="10">
        <v>760</v>
      </c>
      <c r="L1424" s="10">
        <v>680</v>
      </c>
      <c r="M1424" s="10">
        <v>1100</v>
      </c>
      <c r="N1424" s="10"/>
      <c r="O1424" s="10"/>
      <c r="P1424" s="10"/>
      <c r="Q1424" s="10"/>
      <c r="R1424" s="10"/>
      <c r="T1424" s="10">
        <f t="shared" si="387"/>
        <v>1670</v>
      </c>
    </row>
    <row r="1425" spans="2:20" x14ac:dyDescent="0.25">
      <c r="B1425" s="97">
        <f t="shared" si="400"/>
        <v>637</v>
      </c>
      <c r="C1425" s="9"/>
      <c r="D1425" s="9"/>
      <c r="E1425" s="9"/>
      <c r="F1425" s="54" t="s">
        <v>363</v>
      </c>
      <c r="G1425" s="126">
        <v>637</v>
      </c>
      <c r="H1425" s="9" t="s">
        <v>308</v>
      </c>
      <c r="I1425" s="10">
        <v>2000</v>
      </c>
      <c r="J1425" s="10">
        <v>1690</v>
      </c>
      <c r="K1425" s="10">
        <v>1690</v>
      </c>
      <c r="L1425" s="10">
        <v>1690</v>
      </c>
      <c r="M1425" s="10">
        <v>1881</v>
      </c>
      <c r="N1425" s="10"/>
      <c r="O1425" s="10"/>
      <c r="P1425" s="10"/>
      <c r="Q1425" s="10"/>
      <c r="R1425" s="10"/>
      <c r="T1425" s="10">
        <f t="shared" si="387"/>
        <v>2000</v>
      </c>
    </row>
    <row r="1426" spans="2:20" x14ac:dyDescent="0.25">
      <c r="B1426" s="97">
        <f t="shared" si="400"/>
        <v>638</v>
      </c>
      <c r="C1426" s="29"/>
      <c r="D1426" s="29"/>
      <c r="E1426" s="29"/>
      <c r="F1426" s="53" t="s">
        <v>363</v>
      </c>
      <c r="G1426" s="125">
        <v>640</v>
      </c>
      <c r="H1426" s="29" t="s">
        <v>315</v>
      </c>
      <c r="I1426" s="15">
        <v>1740</v>
      </c>
      <c r="J1426" s="15">
        <v>150</v>
      </c>
      <c r="K1426" s="15">
        <v>150</v>
      </c>
      <c r="L1426" s="15">
        <v>0</v>
      </c>
      <c r="M1426" s="15">
        <v>0</v>
      </c>
      <c r="N1426" s="15"/>
      <c r="O1426" s="15"/>
      <c r="P1426" s="15"/>
      <c r="Q1426" s="15"/>
      <c r="R1426" s="15"/>
      <c r="T1426" s="15">
        <f t="shared" si="387"/>
        <v>1740</v>
      </c>
    </row>
    <row r="1427" spans="2:20" x14ac:dyDescent="0.25">
      <c r="B1427" s="97">
        <f t="shared" si="400"/>
        <v>639</v>
      </c>
      <c r="C1427" s="49"/>
      <c r="D1427" s="49"/>
      <c r="E1427" s="49">
        <v>11</v>
      </c>
      <c r="F1427" s="49"/>
      <c r="G1427" s="123"/>
      <c r="H1427" s="49" t="s">
        <v>189</v>
      </c>
      <c r="I1427" s="50">
        <f>I1429+I1430+I1431+I1435</f>
        <v>117866</v>
      </c>
      <c r="J1427" s="50">
        <f t="shared" ref="J1427:R1427" si="407">J1428</f>
        <v>111110</v>
      </c>
      <c r="K1427" s="50">
        <f t="shared" si="407"/>
        <v>101110</v>
      </c>
      <c r="L1427" s="50">
        <f t="shared" si="407"/>
        <v>89442.73</v>
      </c>
      <c r="M1427" s="50">
        <f t="shared" si="407"/>
        <v>76625</v>
      </c>
      <c r="N1427" s="50">
        <v>0</v>
      </c>
      <c r="O1427" s="50">
        <f t="shared" si="407"/>
        <v>0</v>
      </c>
      <c r="P1427" s="50">
        <f t="shared" si="407"/>
        <v>0</v>
      </c>
      <c r="Q1427" s="50">
        <f t="shared" si="407"/>
        <v>0</v>
      </c>
      <c r="R1427" s="50">
        <f t="shared" si="407"/>
        <v>0</v>
      </c>
      <c r="T1427" s="50">
        <f t="shared" si="387"/>
        <v>117866</v>
      </c>
    </row>
    <row r="1428" spans="2:20" hidden="1" x14ac:dyDescent="0.25">
      <c r="B1428" s="97">
        <f t="shared" si="400"/>
        <v>640</v>
      </c>
      <c r="C1428" s="51"/>
      <c r="D1428" s="51"/>
      <c r="E1428" s="51" t="s">
        <v>60</v>
      </c>
      <c r="F1428" s="51"/>
      <c r="G1428" s="124"/>
      <c r="H1428" s="51"/>
      <c r="I1428" s="52" t="e">
        <f>#REF!+#REF!</f>
        <v>#REF!</v>
      </c>
      <c r="J1428" s="52">
        <f t="shared" ref="J1428:R1428" si="408">J1435+J1431+J1430+J1429</f>
        <v>111110</v>
      </c>
      <c r="K1428" s="52">
        <f t="shared" si="408"/>
        <v>101110</v>
      </c>
      <c r="L1428" s="52">
        <f t="shared" si="408"/>
        <v>89442.73</v>
      </c>
      <c r="M1428" s="52">
        <f t="shared" si="408"/>
        <v>76625</v>
      </c>
      <c r="N1428" s="52"/>
      <c r="O1428" s="52">
        <f t="shared" si="408"/>
        <v>0</v>
      </c>
      <c r="P1428" s="52">
        <f t="shared" si="408"/>
        <v>0</v>
      </c>
      <c r="Q1428" s="52">
        <f t="shared" si="408"/>
        <v>0</v>
      </c>
      <c r="R1428" s="52">
        <f t="shared" si="408"/>
        <v>0</v>
      </c>
      <c r="T1428" s="52" t="e">
        <f t="shared" si="387"/>
        <v>#REF!</v>
      </c>
    </row>
    <row r="1429" spans="2:20" x14ac:dyDescent="0.25">
      <c r="B1429" s="97">
        <f t="shared" si="400"/>
        <v>641</v>
      </c>
      <c r="C1429" s="29"/>
      <c r="D1429" s="29"/>
      <c r="E1429" s="29"/>
      <c r="F1429" s="53" t="s">
        <v>363</v>
      </c>
      <c r="G1429" s="125">
        <v>610</v>
      </c>
      <c r="H1429" s="29" t="s">
        <v>338</v>
      </c>
      <c r="I1429" s="15">
        <v>77698</v>
      </c>
      <c r="J1429" s="15">
        <v>73300</v>
      </c>
      <c r="K1429" s="15">
        <f>73300-7000</f>
        <v>66300</v>
      </c>
      <c r="L1429" s="15">
        <v>58777.36</v>
      </c>
      <c r="M1429" s="15">
        <v>51204</v>
      </c>
      <c r="N1429" s="15"/>
      <c r="O1429" s="15"/>
      <c r="P1429" s="15"/>
      <c r="Q1429" s="15"/>
      <c r="R1429" s="15"/>
      <c r="T1429" s="15">
        <f t="shared" si="387"/>
        <v>77698</v>
      </c>
    </row>
    <row r="1430" spans="2:20" x14ac:dyDescent="0.25">
      <c r="B1430" s="97">
        <f t="shared" si="400"/>
        <v>642</v>
      </c>
      <c r="C1430" s="29"/>
      <c r="D1430" s="29"/>
      <c r="E1430" s="29"/>
      <c r="F1430" s="53" t="s">
        <v>363</v>
      </c>
      <c r="G1430" s="125">
        <v>620</v>
      </c>
      <c r="H1430" s="29" t="s">
        <v>313</v>
      </c>
      <c r="I1430" s="15">
        <v>27171</v>
      </c>
      <c r="J1430" s="15">
        <v>25633</v>
      </c>
      <c r="K1430" s="15">
        <f>25633-2000</f>
        <v>23633</v>
      </c>
      <c r="L1430" s="15">
        <v>20215.64</v>
      </c>
      <c r="M1430" s="15">
        <v>17759</v>
      </c>
      <c r="N1430" s="15"/>
      <c r="O1430" s="15"/>
      <c r="P1430" s="15"/>
      <c r="Q1430" s="15"/>
      <c r="R1430" s="15"/>
      <c r="T1430" s="15">
        <f t="shared" si="387"/>
        <v>27171</v>
      </c>
    </row>
    <row r="1431" spans="2:20" x14ac:dyDescent="0.25">
      <c r="B1431" s="97">
        <f t="shared" si="400"/>
        <v>643</v>
      </c>
      <c r="C1431" s="29"/>
      <c r="D1431" s="29"/>
      <c r="E1431" s="29"/>
      <c r="F1431" s="53" t="s">
        <v>363</v>
      </c>
      <c r="G1431" s="125">
        <v>630</v>
      </c>
      <c r="H1431" s="29" t="s">
        <v>303</v>
      </c>
      <c r="I1431" s="15">
        <f>I1432+I1433+I1434</f>
        <v>11137</v>
      </c>
      <c r="J1431" s="15">
        <f t="shared" ref="J1431:M1431" si="409">J1434+J1433+J1432</f>
        <v>10506</v>
      </c>
      <c r="K1431" s="15">
        <f t="shared" si="409"/>
        <v>9506</v>
      </c>
      <c r="L1431" s="15">
        <f t="shared" si="409"/>
        <v>10294.77</v>
      </c>
      <c r="M1431" s="15">
        <f t="shared" si="409"/>
        <v>6079</v>
      </c>
      <c r="N1431" s="15"/>
      <c r="O1431" s="15"/>
      <c r="P1431" s="15"/>
      <c r="Q1431" s="15"/>
      <c r="R1431" s="15"/>
      <c r="T1431" s="15">
        <f t="shared" si="387"/>
        <v>11137</v>
      </c>
    </row>
    <row r="1432" spans="2:20" x14ac:dyDescent="0.25">
      <c r="B1432" s="97">
        <f t="shared" si="400"/>
        <v>644</v>
      </c>
      <c r="C1432" s="9"/>
      <c r="D1432" s="9"/>
      <c r="E1432" s="9"/>
      <c r="F1432" s="54" t="s">
        <v>363</v>
      </c>
      <c r="G1432" s="126">
        <v>632</v>
      </c>
      <c r="H1432" s="9" t="s">
        <v>314</v>
      </c>
      <c r="I1432" s="10">
        <v>2349</v>
      </c>
      <c r="J1432" s="10">
        <v>3631</v>
      </c>
      <c r="K1432" s="10">
        <v>3631</v>
      </c>
      <c r="L1432" s="10">
        <v>3829.93</v>
      </c>
      <c r="M1432" s="10">
        <v>72</v>
      </c>
      <c r="N1432" s="10"/>
      <c r="O1432" s="10"/>
      <c r="P1432" s="10"/>
      <c r="Q1432" s="10"/>
      <c r="R1432" s="10"/>
      <c r="T1432" s="10">
        <f t="shared" si="387"/>
        <v>2349</v>
      </c>
    </row>
    <row r="1433" spans="2:20" x14ac:dyDescent="0.25">
      <c r="B1433" s="97">
        <f t="shared" si="400"/>
        <v>645</v>
      </c>
      <c r="C1433" s="9"/>
      <c r="D1433" s="9"/>
      <c r="E1433" s="9"/>
      <c r="F1433" s="54" t="s">
        <v>363</v>
      </c>
      <c r="G1433" s="126">
        <v>633</v>
      </c>
      <c r="H1433" s="9" t="s">
        <v>305</v>
      </c>
      <c r="I1433" s="10">
        <v>5717</v>
      </c>
      <c r="J1433" s="10">
        <v>3978</v>
      </c>
      <c r="K1433" s="10">
        <f>3978-1000</f>
        <v>2978</v>
      </c>
      <c r="L1433" s="10">
        <v>3964.84</v>
      </c>
      <c r="M1433" s="10">
        <v>2827</v>
      </c>
      <c r="N1433" s="10"/>
      <c r="O1433" s="10"/>
      <c r="P1433" s="10"/>
      <c r="Q1433" s="10"/>
      <c r="R1433" s="10"/>
      <c r="T1433" s="10">
        <f t="shared" ref="T1433:T1496" si="410">I1433+N1433</f>
        <v>5717</v>
      </c>
    </row>
    <row r="1434" spans="2:20" x14ac:dyDescent="0.25">
      <c r="B1434" s="97">
        <f t="shared" si="400"/>
        <v>646</v>
      </c>
      <c r="C1434" s="9"/>
      <c r="D1434" s="9"/>
      <c r="E1434" s="9"/>
      <c r="F1434" s="54" t="s">
        <v>363</v>
      </c>
      <c r="G1434" s="126">
        <v>637</v>
      </c>
      <c r="H1434" s="9" t="s">
        <v>308</v>
      </c>
      <c r="I1434" s="10">
        <v>3071</v>
      </c>
      <c r="J1434" s="10">
        <v>2897</v>
      </c>
      <c r="K1434" s="10">
        <v>2897</v>
      </c>
      <c r="L1434" s="10">
        <v>2500</v>
      </c>
      <c r="M1434" s="10">
        <v>3180</v>
      </c>
      <c r="N1434" s="10"/>
      <c r="O1434" s="10"/>
      <c r="P1434" s="10"/>
      <c r="Q1434" s="10"/>
      <c r="R1434" s="10"/>
      <c r="T1434" s="10">
        <f t="shared" si="410"/>
        <v>3071</v>
      </c>
    </row>
    <row r="1435" spans="2:20" x14ac:dyDescent="0.25">
      <c r="B1435" s="97">
        <f t="shared" si="400"/>
        <v>647</v>
      </c>
      <c r="C1435" s="29"/>
      <c r="D1435" s="29"/>
      <c r="E1435" s="29"/>
      <c r="F1435" s="53" t="s">
        <v>363</v>
      </c>
      <c r="G1435" s="125">
        <v>640</v>
      </c>
      <c r="H1435" s="29" t="s">
        <v>315</v>
      </c>
      <c r="I1435" s="15">
        <v>1860</v>
      </c>
      <c r="J1435" s="15">
        <v>1671</v>
      </c>
      <c r="K1435" s="15">
        <v>1671</v>
      </c>
      <c r="L1435" s="15">
        <v>154.96</v>
      </c>
      <c r="M1435" s="15">
        <v>1583</v>
      </c>
      <c r="N1435" s="15"/>
      <c r="O1435" s="15"/>
      <c r="P1435" s="15"/>
      <c r="Q1435" s="15"/>
      <c r="R1435" s="15"/>
      <c r="T1435" s="15">
        <f t="shared" si="410"/>
        <v>1860</v>
      </c>
    </row>
    <row r="1436" spans="2:20" x14ac:dyDescent="0.25">
      <c r="B1436" s="97">
        <f t="shared" si="400"/>
        <v>648</v>
      </c>
      <c r="C1436" s="49"/>
      <c r="D1436" s="49"/>
      <c r="E1436" s="49">
        <v>12</v>
      </c>
      <c r="F1436" s="49"/>
      <c r="G1436" s="123"/>
      <c r="H1436" s="49" t="s">
        <v>190</v>
      </c>
      <c r="I1436" s="50">
        <f>I1438+I1439+I1440+I1444</f>
        <v>96405</v>
      </c>
      <c r="J1436" s="50">
        <f t="shared" ref="J1436:R1436" si="411">J1437</f>
        <v>65342</v>
      </c>
      <c r="K1436" s="50">
        <f t="shared" si="411"/>
        <v>79618</v>
      </c>
      <c r="L1436" s="50">
        <f t="shared" si="411"/>
        <v>64375.75</v>
      </c>
      <c r="M1436" s="50">
        <f t="shared" si="411"/>
        <v>55484</v>
      </c>
      <c r="N1436" s="50">
        <v>0</v>
      </c>
      <c r="O1436" s="50">
        <f t="shared" si="411"/>
        <v>0</v>
      </c>
      <c r="P1436" s="50">
        <f t="shared" si="411"/>
        <v>0</v>
      </c>
      <c r="Q1436" s="50">
        <f t="shared" si="411"/>
        <v>0</v>
      </c>
      <c r="R1436" s="50">
        <f t="shared" si="411"/>
        <v>0</v>
      </c>
      <c r="T1436" s="50">
        <f t="shared" si="410"/>
        <v>96405</v>
      </c>
    </row>
    <row r="1437" spans="2:20" hidden="1" x14ac:dyDescent="0.25">
      <c r="B1437" s="97">
        <f t="shared" si="400"/>
        <v>649</v>
      </c>
      <c r="C1437" s="51"/>
      <c r="D1437" s="51"/>
      <c r="E1437" s="51" t="s">
        <v>60</v>
      </c>
      <c r="F1437" s="51"/>
      <c r="G1437" s="124"/>
      <c r="H1437" s="51"/>
      <c r="I1437" s="52" t="e">
        <f>#REF!+#REF!</f>
        <v>#REF!</v>
      </c>
      <c r="J1437" s="52">
        <f t="shared" ref="J1437:R1437" si="412">J1444+J1440+J1439+J1438</f>
        <v>65342</v>
      </c>
      <c r="K1437" s="52">
        <f t="shared" si="412"/>
        <v>79618</v>
      </c>
      <c r="L1437" s="52">
        <f t="shared" si="412"/>
        <v>64375.75</v>
      </c>
      <c r="M1437" s="52">
        <f t="shared" si="412"/>
        <v>55484</v>
      </c>
      <c r="N1437" s="52"/>
      <c r="O1437" s="52">
        <f t="shared" si="412"/>
        <v>0</v>
      </c>
      <c r="P1437" s="52">
        <f t="shared" si="412"/>
        <v>0</v>
      </c>
      <c r="Q1437" s="52">
        <f t="shared" si="412"/>
        <v>0</v>
      </c>
      <c r="R1437" s="52">
        <f t="shared" si="412"/>
        <v>0</v>
      </c>
      <c r="T1437" s="52" t="e">
        <f t="shared" si="410"/>
        <v>#REF!</v>
      </c>
    </row>
    <row r="1438" spans="2:20" x14ac:dyDescent="0.25">
      <c r="B1438" s="97">
        <f t="shared" si="400"/>
        <v>650</v>
      </c>
      <c r="C1438" s="29"/>
      <c r="D1438" s="29"/>
      <c r="E1438" s="29"/>
      <c r="F1438" s="53" t="s">
        <v>363</v>
      </c>
      <c r="G1438" s="125">
        <v>610</v>
      </c>
      <c r="H1438" s="29" t="s">
        <v>338</v>
      </c>
      <c r="I1438" s="15">
        <v>64500</v>
      </c>
      <c r="J1438" s="15">
        <v>45536</v>
      </c>
      <c r="K1438" s="15">
        <v>55088</v>
      </c>
      <c r="L1438" s="15">
        <v>44269</v>
      </c>
      <c r="M1438" s="15">
        <v>39518</v>
      </c>
      <c r="N1438" s="15"/>
      <c r="O1438" s="15"/>
      <c r="P1438" s="15"/>
      <c r="Q1438" s="15"/>
      <c r="R1438" s="15"/>
      <c r="T1438" s="15">
        <f t="shared" si="410"/>
        <v>64500</v>
      </c>
    </row>
    <row r="1439" spans="2:20" x14ac:dyDescent="0.25">
      <c r="B1439" s="97">
        <f t="shared" si="400"/>
        <v>651</v>
      </c>
      <c r="C1439" s="29"/>
      <c r="D1439" s="29"/>
      <c r="E1439" s="29"/>
      <c r="F1439" s="53" t="s">
        <v>363</v>
      </c>
      <c r="G1439" s="125">
        <v>620</v>
      </c>
      <c r="H1439" s="29" t="s">
        <v>313</v>
      </c>
      <c r="I1439" s="15">
        <v>22570</v>
      </c>
      <c r="J1439" s="15">
        <v>14556</v>
      </c>
      <c r="K1439" s="15">
        <v>19280</v>
      </c>
      <c r="L1439" s="15">
        <v>15177.89</v>
      </c>
      <c r="M1439" s="15">
        <v>14245</v>
      </c>
      <c r="N1439" s="15"/>
      <c r="O1439" s="15"/>
      <c r="P1439" s="15"/>
      <c r="Q1439" s="15"/>
      <c r="R1439" s="15"/>
      <c r="T1439" s="15">
        <f t="shared" si="410"/>
        <v>22570</v>
      </c>
    </row>
    <row r="1440" spans="2:20" x14ac:dyDescent="0.25">
      <c r="B1440" s="97">
        <f t="shared" si="400"/>
        <v>652</v>
      </c>
      <c r="C1440" s="29"/>
      <c r="D1440" s="29"/>
      <c r="E1440" s="29"/>
      <c r="F1440" s="53" t="s">
        <v>363</v>
      </c>
      <c r="G1440" s="125">
        <v>630</v>
      </c>
      <c r="H1440" s="29" t="s">
        <v>303</v>
      </c>
      <c r="I1440" s="15">
        <f>I1441+I1442+I1443</f>
        <v>5835</v>
      </c>
      <c r="J1440" s="15">
        <f t="shared" ref="J1440:M1440" si="413">J1443+J1442+J1441</f>
        <v>2040</v>
      </c>
      <c r="K1440" s="15">
        <f t="shared" si="413"/>
        <v>2040</v>
      </c>
      <c r="L1440" s="15">
        <f t="shared" si="413"/>
        <v>4891.55</v>
      </c>
      <c r="M1440" s="15">
        <f t="shared" si="413"/>
        <v>1510</v>
      </c>
      <c r="N1440" s="15"/>
      <c r="O1440" s="15"/>
      <c r="P1440" s="15"/>
      <c r="Q1440" s="15"/>
      <c r="R1440" s="15"/>
      <c r="T1440" s="15">
        <f t="shared" si="410"/>
        <v>5835</v>
      </c>
    </row>
    <row r="1441" spans="2:20" x14ac:dyDescent="0.25">
      <c r="B1441" s="97">
        <f t="shared" si="400"/>
        <v>653</v>
      </c>
      <c r="C1441" s="9"/>
      <c r="D1441" s="9"/>
      <c r="E1441" s="9"/>
      <c r="F1441" s="54" t="s">
        <v>363</v>
      </c>
      <c r="G1441" s="126">
        <v>632</v>
      </c>
      <c r="H1441" s="9" t="s">
        <v>314</v>
      </c>
      <c r="I1441" s="10">
        <v>325</v>
      </c>
      <c r="J1441" s="10">
        <v>306</v>
      </c>
      <c r="K1441" s="10">
        <v>306</v>
      </c>
      <c r="L1441" s="10">
        <v>137</v>
      </c>
      <c r="M1441" s="10">
        <v>187</v>
      </c>
      <c r="N1441" s="10"/>
      <c r="O1441" s="10"/>
      <c r="P1441" s="10"/>
      <c r="Q1441" s="10"/>
      <c r="R1441" s="10"/>
      <c r="T1441" s="10">
        <f t="shared" si="410"/>
        <v>325</v>
      </c>
    </row>
    <row r="1442" spans="2:20" x14ac:dyDescent="0.25">
      <c r="B1442" s="97">
        <f t="shared" si="400"/>
        <v>654</v>
      </c>
      <c r="C1442" s="9"/>
      <c r="D1442" s="9"/>
      <c r="E1442" s="9"/>
      <c r="F1442" s="54" t="s">
        <v>363</v>
      </c>
      <c r="G1442" s="126">
        <v>633</v>
      </c>
      <c r="H1442" s="9" t="s">
        <v>305</v>
      </c>
      <c r="I1442" s="10">
        <v>4725</v>
      </c>
      <c r="J1442" s="10">
        <v>1224</v>
      </c>
      <c r="K1442" s="10">
        <v>1224</v>
      </c>
      <c r="L1442" s="10">
        <v>4154.55</v>
      </c>
      <c r="M1442" s="10">
        <v>170</v>
      </c>
      <c r="N1442" s="10"/>
      <c r="O1442" s="10"/>
      <c r="P1442" s="10"/>
      <c r="Q1442" s="10"/>
      <c r="R1442" s="10"/>
      <c r="T1442" s="10">
        <f t="shared" si="410"/>
        <v>4725</v>
      </c>
    </row>
    <row r="1443" spans="2:20" x14ac:dyDescent="0.25">
      <c r="B1443" s="97">
        <f t="shared" si="400"/>
        <v>655</v>
      </c>
      <c r="C1443" s="9"/>
      <c r="D1443" s="9"/>
      <c r="E1443" s="9"/>
      <c r="F1443" s="54" t="s">
        <v>363</v>
      </c>
      <c r="G1443" s="126">
        <v>637</v>
      </c>
      <c r="H1443" s="9" t="s">
        <v>308</v>
      </c>
      <c r="I1443" s="10">
        <v>785</v>
      </c>
      <c r="J1443" s="10">
        <v>510</v>
      </c>
      <c r="K1443" s="10">
        <v>510</v>
      </c>
      <c r="L1443" s="10">
        <v>600</v>
      </c>
      <c r="M1443" s="10">
        <v>1153</v>
      </c>
      <c r="N1443" s="10"/>
      <c r="O1443" s="10"/>
      <c r="P1443" s="10"/>
      <c r="Q1443" s="10"/>
      <c r="R1443" s="10"/>
      <c r="T1443" s="10">
        <f t="shared" si="410"/>
        <v>785</v>
      </c>
    </row>
    <row r="1444" spans="2:20" x14ac:dyDescent="0.25">
      <c r="B1444" s="97">
        <f t="shared" si="400"/>
        <v>656</v>
      </c>
      <c r="C1444" s="29"/>
      <c r="D1444" s="29"/>
      <c r="E1444" s="29"/>
      <c r="F1444" s="53" t="s">
        <v>363</v>
      </c>
      <c r="G1444" s="125">
        <v>640</v>
      </c>
      <c r="H1444" s="29" t="s">
        <v>315</v>
      </c>
      <c r="I1444" s="15">
        <v>3500</v>
      </c>
      <c r="J1444" s="15">
        <v>3210</v>
      </c>
      <c r="K1444" s="15">
        <v>3210</v>
      </c>
      <c r="L1444" s="15">
        <v>37.31</v>
      </c>
      <c r="M1444" s="15">
        <v>211</v>
      </c>
      <c r="N1444" s="15"/>
      <c r="O1444" s="15"/>
      <c r="P1444" s="15"/>
      <c r="Q1444" s="15"/>
      <c r="R1444" s="15"/>
      <c r="T1444" s="15">
        <f t="shared" si="410"/>
        <v>3500</v>
      </c>
    </row>
    <row r="1445" spans="2:20" x14ac:dyDescent="0.25">
      <c r="B1445" s="97">
        <f t="shared" si="400"/>
        <v>657</v>
      </c>
      <c r="C1445" s="49"/>
      <c r="D1445" s="49"/>
      <c r="E1445" s="49">
        <v>13</v>
      </c>
      <c r="F1445" s="49"/>
      <c r="G1445" s="123"/>
      <c r="H1445" s="49" t="s">
        <v>191</v>
      </c>
      <c r="I1445" s="50">
        <f>I1447+I1448+I1449+I1453</f>
        <v>40140</v>
      </c>
      <c r="J1445" s="50">
        <f t="shared" ref="J1445:R1445" si="414">J1446</f>
        <v>37867</v>
      </c>
      <c r="K1445" s="50">
        <f t="shared" si="414"/>
        <v>37867</v>
      </c>
      <c r="L1445" s="50">
        <f t="shared" si="414"/>
        <v>36850</v>
      </c>
      <c r="M1445" s="50">
        <f t="shared" si="414"/>
        <v>30807</v>
      </c>
      <c r="N1445" s="50">
        <v>0</v>
      </c>
      <c r="O1445" s="50">
        <f t="shared" si="414"/>
        <v>0</v>
      </c>
      <c r="P1445" s="50">
        <f t="shared" si="414"/>
        <v>0</v>
      </c>
      <c r="Q1445" s="50">
        <f t="shared" si="414"/>
        <v>0</v>
      </c>
      <c r="R1445" s="50">
        <f t="shared" si="414"/>
        <v>0</v>
      </c>
      <c r="T1445" s="50">
        <f t="shared" si="410"/>
        <v>40140</v>
      </c>
    </row>
    <row r="1446" spans="2:20" hidden="1" x14ac:dyDescent="0.25">
      <c r="B1446" s="97">
        <f t="shared" si="400"/>
        <v>658</v>
      </c>
      <c r="C1446" s="51"/>
      <c r="D1446" s="51"/>
      <c r="E1446" s="51" t="s">
        <v>60</v>
      </c>
      <c r="F1446" s="51"/>
      <c r="G1446" s="124"/>
      <c r="H1446" s="51"/>
      <c r="I1446" s="52" t="e">
        <f>#REF!+#REF!</f>
        <v>#REF!</v>
      </c>
      <c r="J1446" s="52">
        <f t="shared" ref="J1446:R1446" si="415">J1453+J1449+J1448+J1447</f>
        <v>37867</v>
      </c>
      <c r="K1446" s="52">
        <f t="shared" si="415"/>
        <v>37867</v>
      </c>
      <c r="L1446" s="52">
        <f t="shared" si="415"/>
        <v>36850</v>
      </c>
      <c r="M1446" s="52">
        <f t="shared" si="415"/>
        <v>30807</v>
      </c>
      <c r="N1446" s="52"/>
      <c r="O1446" s="52">
        <f t="shared" si="415"/>
        <v>0</v>
      </c>
      <c r="P1446" s="52">
        <f t="shared" si="415"/>
        <v>0</v>
      </c>
      <c r="Q1446" s="52">
        <f t="shared" si="415"/>
        <v>0</v>
      </c>
      <c r="R1446" s="52">
        <f t="shared" si="415"/>
        <v>0</v>
      </c>
      <c r="T1446" s="52" t="e">
        <f t="shared" si="410"/>
        <v>#REF!</v>
      </c>
    </row>
    <row r="1447" spans="2:20" x14ac:dyDescent="0.25">
      <c r="B1447" s="97">
        <f t="shared" si="400"/>
        <v>659</v>
      </c>
      <c r="C1447" s="29"/>
      <c r="D1447" s="29"/>
      <c r="E1447" s="29"/>
      <c r="F1447" s="53" t="s">
        <v>363</v>
      </c>
      <c r="G1447" s="125">
        <v>610</v>
      </c>
      <c r="H1447" s="29" t="s">
        <v>338</v>
      </c>
      <c r="I1447" s="15">
        <v>25312</v>
      </c>
      <c r="J1447" s="15">
        <v>23880</v>
      </c>
      <c r="K1447" s="15">
        <v>23880</v>
      </c>
      <c r="L1447" s="15">
        <v>22746</v>
      </c>
      <c r="M1447" s="15">
        <v>20383</v>
      </c>
      <c r="N1447" s="15"/>
      <c r="O1447" s="15"/>
      <c r="P1447" s="15"/>
      <c r="Q1447" s="15"/>
      <c r="R1447" s="15"/>
      <c r="T1447" s="15">
        <f t="shared" si="410"/>
        <v>25312</v>
      </c>
    </row>
    <row r="1448" spans="2:20" x14ac:dyDescent="0.25">
      <c r="B1448" s="97">
        <f t="shared" si="400"/>
        <v>660</v>
      </c>
      <c r="C1448" s="29"/>
      <c r="D1448" s="29"/>
      <c r="E1448" s="29"/>
      <c r="F1448" s="53" t="s">
        <v>363</v>
      </c>
      <c r="G1448" s="125">
        <v>620</v>
      </c>
      <c r="H1448" s="29" t="s">
        <v>313</v>
      </c>
      <c r="I1448" s="15">
        <v>8850</v>
      </c>
      <c r="J1448" s="15">
        <v>8348</v>
      </c>
      <c r="K1448" s="15">
        <v>8348</v>
      </c>
      <c r="L1448" s="15">
        <v>7374</v>
      </c>
      <c r="M1448" s="15">
        <v>6804</v>
      </c>
      <c r="N1448" s="15"/>
      <c r="O1448" s="15"/>
      <c r="P1448" s="15"/>
      <c r="Q1448" s="15"/>
      <c r="R1448" s="15"/>
      <c r="T1448" s="15">
        <f t="shared" si="410"/>
        <v>8850</v>
      </c>
    </row>
    <row r="1449" spans="2:20" x14ac:dyDescent="0.25">
      <c r="B1449" s="97">
        <f t="shared" si="400"/>
        <v>661</v>
      </c>
      <c r="C1449" s="29"/>
      <c r="D1449" s="29"/>
      <c r="E1449" s="29"/>
      <c r="F1449" s="53" t="s">
        <v>363</v>
      </c>
      <c r="G1449" s="125">
        <v>630</v>
      </c>
      <c r="H1449" s="29" t="s">
        <v>303</v>
      </c>
      <c r="I1449" s="15">
        <f>I1450+I1451+I1452</f>
        <v>5928</v>
      </c>
      <c r="J1449" s="15">
        <f t="shared" ref="J1449:M1449" si="416">J1452+J1451+J1450</f>
        <v>5589</v>
      </c>
      <c r="K1449" s="15">
        <f t="shared" si="416"/>
        <v>5589</v>
      </c>
      <c r="L1449" s="15">
        <f t="shared" si="416"/>
        <v>6730</v>
      </c>
      <c r="M1449" s="15">
        <f t="shared" si="416"/>
        <v>3620</v>
      </c>
      <c r="N1449" s="15"/>
      <c r="O1449" s="15"/>
      <c r="P1449" s="15"/>
      <c r="Q1449" s="15"/>
      <c r="R1449" s="15"/>
      <c r="T1449" s="15">
        <f t="shared" si="410"/>
        <v>5928</v>
      </c>
    </row>
    <row r="1450" spans="2:20" x14ac:dyDescent="0.25">
      <c r="B1450" s="97">
        <f t="shared" si="400"/>
        <v>662</v>
      </c>
      <c r="C1450" s="9"/>
      <c r="D1450" s="9"/>
      <c r="E1450" s="9"/>
      <c r="F1450" s="54" t="s">
        <v>363</v>
      </c>
      <c r="G1450" s="126">
        <v>632</v>
      </c>
      <c r="H1450" s="9" t="s">
        <v>314</v>
      </c>
      <c r="I1450" s="10">
        <v>5110</v>
      </c>
      <c r="J1450" s="10">
        <v>4865</v>
      </c>
      <c r="K1450" s="10">
        <v>4865</v>
      </c>
      <c r="L1450" s="10">
        <v>5670</v>
      </c>
      <c r="M1450" s="10">
        <v>2950</v>
      </c>
      <c r="N1450" s="10"/>
      <c r="O1450" s="10"/>
      <c r="P1450" s="10"/>
      <c r="Q1450" s="10"/>
      <c r="R1450" s="10"/>
      <c r="T1450" s="10">
        <f t="shared" si="410"/>
        <v>5110</v>
      </c>
    </row>
    <row r="1451" spans="2:20" x14ac:dyDescent="0.25">
      <c r="B1451" s="97">
        <f t="shared" si="400"/>
        <v>663</v>
      </c>
      <c r="C1451" s="9"/>
      <c r="D1451" s="9"/>
      <c r="E1451" s="9"/>
      <c r="F1451" s="54" t="s">
        <v>363</v>
      </c>
      <c r="G1451" s="126">
        <v>633</v>
      </c>
      <c r="H1451" s="9" t="s">
        <v>305</v>
      </c>
      <c r="I1451" s="10">
        <v>155</v>
      </c>
      <c r="J1451" s="10">
        <v>122</v>
      </c>
      <c r="K1451" s="10">
        <v>122</v>
      </c>
      <c r="L1451" s="10">
        <v>470</v>
      </c>
      <c r="M1451" s="10">
        <v>130</v>
      </c>
      <c r="N1451" s="10"/>
      <c r="O1451" s="10"/>
      <c r="P1451" s="10"/>
      <c r="Q1451" s="10"/>
      <c r="R1451" s="10"/>
      <c r="T1451" s="10">
        <f t="shared" si="410"/>
        <v>155</v>
      </c>
    </row>
    <row r="1452" spans="2:20" x14ac:dyDescent="0.25">
      <c r="B1452" s="97">
        <f t="shared" si="400"/>
        <v>664</v>
      </c>
      <c r="C1452" s="9"/>
      <c r="D1452" s="9"/>
      <c r="E1452" s="9"/>
      <c r="F1452" s="54" t="s">
        <v>363</v>
      </c>
      <c r="G1452" s="126">
        <v>637</v>
      </c>
      <c r="H1452" s="9" t="s">
        <v>308</v>
      </c>
      <c r="I1452" s="10">
        <v>663</v>
      </c>
      <c r="J1452" s="10">
        <v>602</v>
      </c>
      <c r="K1452" s="10">
        <v>602</v>
      </c>
      <c r="L1452" s="10">
        <v>590</v>
      </c>
      <c r="M1452" s="10">
        <v>540</v>
      </c>
      <c r="N1452" s="10"/>
      <c r="O1452" s="10"/>
      <c r="P1452" s="10"/>
      <c r="Q1452" s="10"/>
      <c r="R1452" s="10"/>
      <c r="T1452" s="10">
        <f t="shared" si="410"/>
        <v>663</v>
      </c>
    </row>
    <row r="1453" spans="2:20" x14ac:dyDescent="0.25">
      <c r="B1453" s="97">
        <f t="shared" si="400"/>
        <v>665</v>
      </c>
      <c r="C1453" s="29"/>
      <c r="D1453" s="29"/>
      <c r="E1453" s="29"/>
      <c r="F1453" s="53" t="s">
        <v>363</v>
      </c>
      <c r="G1453" s="125">
        <v>640</v>
      </c>
      <c r="H1453" s="29" t="s">
        <v>315</v>
      </c>
      <c r="I1453" s="15">
        <v>50</v>
      </c>
      <c r="J1453" s="15">
        <v>50</v>
      </c>
      <c r="K1453" s="15">
        <v>50</v>
      </c>
      <c r="L1453" s="15">
        <v>0</v>
      </c>
      <c r="M1453" s="15">
        <v>0</v>
      </c>
      <c r="N1453" s="15"/>
      <c r="O1453" s="15"/>
      <c r="P1453" s="15"/>
      <c r="Q1453" s="15"/>
      <c r="R1453" s="15"/>
      <c r="T1453" s="15">
        <f t="shared" si="410"/>
        <v>50</v>
      </c>
    </row>
    <row r="1454" spans="2:20" x14ac:dyDescent="0.25">
      <c r="B1454" s="97">
        <f t="shared" si="400"/>
        <v>666</v>
      </c>
      <c r="C1454" s="49"/>
      <c r="D1454" s="49"/>
      <c r="E1454" s="49">
        <v>14</v>
      </c>
      <c r="F1454" s="49"/>
      <c r="G1454" s="123"/>
      <c r="H1454" s="49" t="s">
        <v>192</v>
      </c>
      <c r="I1454" s="50">
        <f>I1456+I1457+I1458+I1465</f>
        <v>893730</v>
      </c>
      <c r="J1454" s="50">
        <f t="shared" ref="J1454:M1454" si="417">J1456+J1457+J1458+J1465</f>
        <v>843146</v>
      </c>
      <c r="K1454" s="50">
        <f t="shared" si="417"/>
        <v>846796</v>
      </c>
      <c r="L1454" s="50">
        <f t="shared" si="417"/>
        <v>790914.75</v>
      </c>
      <c r="M1454" s="50">
        <f t="shared" si="417"/>
        <v>721204</v>
      </c>
      <c r="N1454" s="50">
        <v>0</v>
      </c>
      <c r="O1454" s="50">
        <v>0</v>
      </c>
      <c r="P1454" s="50">
        <v>0</v>
      </c>
      <c r="Q1454" s="50">
        <v>0</v>
      </c>
      <c r="R1454" s="50">
        <v>0</v>
      </c>
      <c r="T1454" s="50">
        <f t="shared" si="410"/>
        <v>893730</v>
      </c>
    </row>
    <row r="1455" spans="2:20" hidden="1" x14ac:dyDescent="0.25">
      <c r="B1455" s="97">
        <f t="shared" si="400"/>
        <v>667</v>
      </c>
      <c r="C1455" s="51"/>
      <c r="D1455" s="51"/>
      <c r="E1455" s="51" t="s">
        <v>60</v>
      </c>
      <c r="F1455" s="51"/>
      <c r="G1455" s="124"/>
      <c r="H1455" s="51"/>
      <c r="I1455" s="52" t="e">
        <f>#REF!+#REF!</f>
        <v>#REF!</v>
      </c>
      <c r="J1455" s="52" t="e">
        <f>#REF!+J1465+J1458+J1457+J1456</f>
        <v>#REF!</v>
      </c>
      <c r="K1455" s="52" t="e">
        <f>#REF!+K1465+K1458+K1457+K1456</f>
        <v>#REF!</v>
      </c>
      <c r="L1455" s="52" t="e">
        <f>#REF!+L1465+L1458+L1457+L1456</f>
        <v>#REF!</v>
      </c>
      <c r="M1455" s="52" t="e">
        <f>#REF!+M1465+M1458+M1457+M1456</f>
        <v>#REF!</v>
      </c>
      <c r="N1455" s="52"/>
      <c r="O1455" s="52" t="e">
        <f>#REF!+O1465+O1458+O1457+O1456</f>
        <v>#REF!</v>
      </c>
      <c r="P1455" s="52" t="e">
        <f>#REF!+P1465+P1458+P1457+P1456</f>
        <v>#REF!</v>
      </c>
      <c r="Q1455" s="52" t="e">
        <f>#REF!+Q1465+Q1458+Q1457+Q1456</f>
        <v>#REF!</v>
      </c>
      <c r="R1455" s="52" t="e">
        <f>#REF!+R1465+R1458+R1457+R1456</f>
        <v>#REF!</v>
      </c>
      <c r="T1455" s="52" t="e">
        <f t="shared" si="410"/>
        <v>#REF!</v>
      </c>
    </row>
    <row r="1456" spans="2:20" x14ac:dyDescent="0.25">
      <c r="B1456" s="97">
        <f t="shared" si="400"/>
        <v>668</v>
      </c>
      <c r="C1456" s="29"/>
      <c r="D1456" s="29"/>
      <c r="E1456" s="29"/>
      <c r="F1456" s="53" t="s">
        <v>363</v>
      </c>
      <c r="G1456" s="125">
        <v>610</v>
      </c>
      <c r="H1456" s="29" t="s">
        <v>338</v>
      </c>
      <c r="I1456" s="15">
        <v>580700</v>
      </c>
      <c r="J1456" s="15">
        <v>547819</v>
      </c>
      <c r="K1456" s="15">
        <v>547819</v>
      </c>
      <c r="L1456" s="15">
        <v>534632</v>
      </c>
      <c r="M1456" s="15">
        <v>466188</v>
      </c>
      <c r="N1456" s="15"/>
      <c r="O1456" s="15"/>
      <c r="P1456" s="15"/>
      <c r="Q1456" s="15"/>
      <c r="R1456" s="15"/>
      <c r="T1456" s="15">
        <f t="shared" si="410"/>
        <v>580700</v>
      </c>
    </row>
    <row r="1457" spans="2:20" x14ac:dyDescent="0.25">
      <c r="B1457" s="97">
        <f t="shared" si="400"/>
        <v>669</v>
      </c>
      <c r="C1457" s="29"/>
      <c r="D1457" s="29"/>
      <c r="E1457" s="29"/>
      <c r="F1457" s="53" t="s">
        <v>363</v>
      </c>
      <c r="G1457" s="125">
        <v>620</v>
      </c>
      <c r="H1457" s="29" t="s">
        <v>313</v>
      </c>
      <c r="I1457" s="15">
        <v>202800</v>
      </c>
      <c r="J1457" s="15">
        <v>191327</v>
      </c>
      <c r="K1457" s="15">
        <v>191327</v>
      </c>
      <c r="L1457" s="15">
        <v>183196</v>
      </c>
      <c r="M1457" s="15">
        <v>161501</v>
      </c>
      <c r="N1457" s="15"/>
      <c r="O1457" s="15"/>
      <c r="P1457" s="15"/>
      <c r="Q1457" s="15"/>
      <c r="R1457" s="15"/>
      <c r="T1457" s="15">
        <f t="shared" si="410"/>
        <v>202800</v>
      </c>
    </row>
    <row r="1458" spans="2:20" x14ac:dyDescent="0.25">
      <c r="B1458" s="97">
        <f t="shared" si="400"/>
        <v>670</v>
      </c>
      <c r="C1458" s="29"/>
      <c r="D1458" s="29"/>
      <c r="E1458" s="29"/>
      <c r="F1458" s="53" t="s">
        <v>363</v>
      </c>
      <c r="G1458" s="125">
        <v>630</v>
      </c>
      <c r="H1458" s="29" t="s">
        <v>303</v>
      </c>
      <c r="I1458" s="15">
        <f>I1459+I1460+I1461+I1462+I1463+I1464</f>
        <v>104730</v>
      </c>
      <c r="J1458" s="15">
        <f t="shared" ref="J1458:M1458" si="418">J1464+J1463+J1462+J1461+J1460+J1459</f>
        <v>97370</v>
      </c>
      <c r="K1458" s="15">
        <f t="shared" si="418"/>
        <v>97370</v>
      </c>
      <c r="L1458" s="15">
        <f t="shared" si="418"/>
        <v>71836.75</v>
      </c>
      <c r="M1458" s="15">
        <f t="shared" si="418"/>
        <v>90722</v>
      </c>
      <c r="N1458" s="15"/>
      <c r="O1458" s="15"/>
      <c r="P1458" s="15"/>
      <c r="Q1458" s="15"/>
      <c r="R1458" s="15"/>
      <c r="T1458" s="15">
        <f t="shared" si="410"/>
        <v>104730</v>
      </c>
    </row>
    <row r="1459" spans="2:20" x14ac:dyDescent="0.25">
      <c r="B1459" s="97">
        <f t="shared" si="400"/>
        <v>671</v>
      </c>
      <c r="C1459" s="9"/>
      <c r="D1459" s="9"/>
      <c r="E1459" s="9"/>
      <c r="F1459" s="54" t="s">
        <v>363</v>
      </c>
      <c r="G1459" s="126">
        <v>631</v>
      </c>
      <c r="H1459" s="9" t="s">
        <v>304</v>
      </c>
      <c r="I1459" s="10">
        <v>400</v>
      </c>
      <c r="J1459" s="10">
        <v>408</v>
      </c>
      <c r="K1459" s="10">
        <v>408</v>
      </c>
      <c r="L1459" s="10">
        <v>194.07</v>
      </c>
      <c r="M1459" s="10">
        <v>389</v>
      </c>
      <c r="N1459" s="10"/>
      <c r="O1459" s="10"/>
      <c r="P1459" s="10"/>
      <c r="Q1459" s="10"/>
      <c r="R1459" s="10"/>
      <c r="T1459" s="10">
        <f t="shared" si="410"/>
        <v>400</v>
      </c>
    </row>
    <row r="1460" spans="2:20" x14ac:dyDescent="0.25">
      <c r="B1460" s="97">
        <f t="shared" si="400"/>
        <v>672</v>
      </c>
      <c r="C1460" s="9"/>
      <c r="D1460" s="9"/>
      <c r="E1460" s="9"/>
      <c r="F1460" s="54" t="s">
        <v>363</v>
      </c>
      <c r="G1460" s="126">
        <v>632</v>
      </c>
      <c r="H1460" s="9" t="s">
        <v>314</v>
      </c>
      <c r="I1460" s="10">
        <v>30500</v>
      </c>
      <c r="J1460" s="10">
        <v>40066</v>
      </c>
      <c r="K1460" s="10">
        <v>40066</v>
      </c>
      <c r="L1460" s="10">
        <v>24447.61</v>
      </c>
      <c r="M1460" s="10">
        <v>37547</v>
      </c>
      <c r="N1460" s="10"/>
      <c r="O1460" s="10"/>
      <c r="P1460" s="10"/>
      <c r="Q1460" s="10"/>
      <c r="R1460" s="10"/>
      <c r="T1460" s="10">
        <f t="shared" si="410"/>
        <v>30500</v>
      </c>
    </row>
    <row r="1461" spans="2:20" x14ac:dyDescent="0.25">
      <c r="B1461" s="97">
        <f t="shared" si="400"/>
        <v>673</v>
      </c>
      <c r="C1461" s="9"/>
      <c r="D1461" s="9"/>
      <c r="E1461" s="9"/>
      <c r="F1461" s="54" t="s">
        <v>363</v>
      </c>
      <c r="G1461" s="126">
        <v>633</v>
      </c>
      <c r="H1461" s="9" t="s">
        <v>305</v>
      </c>
      <c r="I1461" s="10">
        <v>24500</v>
      </c>
      <c r="J1461" s="10">
        <v>16035</v>
      </c>
      <c r="K1461" s="10">
        <v>16035</v>
      </c>
      <c r="L1461" s="10">
        <v>15841</v>
      </c>
      <c r="M1461" s="10">
        <v>7422</v>
      </c>
      <c r="N1461" s="10"/>
      <c r="O1461" s="10"/>
      <c r="P1461" s="10"/>
      <c r="Q1461" s="10"/>
      <c r="R1461" s="10"/>
      <c r="T1461" s="10">
        <f t="shared" si="410"/>
        <v>24500</v>
      </c>
    </row>
    <row r="1462" spans="2:20" x14ac:dyDescent="0.25">
      <c r="B1462" s="97">
        <f t="shared" si="400"/>
        <v>674</v>
      </c>
      <c r="C1462" s="9"/>
      <c r="D1462" s="9"/>
      <c r="E1462" s="9"/>
      <c r="F1462" s="54" t="s">
        <v>363</v>
      </c>
      <c r="G1462" s="126">
        <v>635</v>
      </c>
      <c r="H1462" s="9" t="s">
        <v>320</v>
      </c>
      <c r="I1462" s="10">
        <v>6200</v>
      </c>
      <c r="J1462" s="10">
        <v>4733</v>
      </c>
      <c r="K1462" s="10">
        <v>4733</v>
      </c>
      <c r="L1462" s="10">
        <v>3802.59</v>
      </c>
      <c r="M1462" s="10">
        <v>2397</v>
      </c>
      <c r="N1462" s="10"/>
      <c r="O1462" s="10"/>
      <c r="P1462" s="10"/>
      <c r="Q1462" s="10"/>
      <c r="R1462" s="10"/>
      <c r="T1462" s="10">
        <f t="shared" si="410"/>
        <v>6200</v>
      </c>
    </row>
    <row r="1463" spans="2:20" x14ac:dyDescent="0.25">
      <c r="B1463" s="97">
        <f t="shared" si="400"/>
        <v>675</v>
      </c>
      <c r="C1463" s="9"/>
      <c r="D1463" s="9"/>
      <c r="E1463" s="9"/>
      <c r="F1463" s="54" t="s">
        <v>363</v>
      </c>
      <c r="G1463" s="126">
        <v>636</v>
      </c>
      <c r="H1463" s="9" t="s">
        <v>307</v>
      </c>
      <c r="I1463" s="10">
        <v>200</v>
      </c>
      <c r="J1463" s="10">
        <v>102</v>
      </c>
      <c r="K1463" s="10">
        <v>102</v>
      </c>
      <c r="L1463" s="10">
        <v>174.48</v>
      </c>
      <c r="M1463" s="10">
        <v>217</v>
      </c>
      <c r="N1463" s="10"/>
      <c r="O1463" s="10"/>
      <c r="P1463" s="10"/>
      <c r="Q1463" s="10"/>
      <c r="R1463" s="10"/>
      <c r="T1463" s="10">
        <f t="shared" si="410"/>
        <v>200</v>
      </c>
    </row>
    <row r="1464" spans="2:20" x14ac:dyDescent="0.25">
      <c r="B1464" s="97">
        <f t="shared" si="400"/>
        <v>676</v>
      </c>
      <c r="C1464" s="9"/>
      <c r="D1464" s="9"/>
      <c r="E1464" s="9"/>
      <c r="F1464" s="54" t="s">
        <v>363</v>
      </c>
      <c r="G1464" s="126">
        <v>637</v>
      </c>
      <c r="H1464" s="9" t="s">
        <v>308</v>
      </c>
      <c r="I1464" s="10">
        <v>42930</v>
      </c>
      <c r="J1464" s="10">
        <v>36026</v>
      </c>
      <c r="K1464" s="10">
        <v>36026</v>
      </c>
      <c r="L1464" s="10">
        <v>27377</v>
      </c>
      <c r="M1464" s="10">
        <v>42750</v>
      </c>
      <c r="N1464" s="10"/>
      <c r="O1464" s="10"/>
      <c r="P1464" s="10"/>
      <c r="Q1464" s="10"/>
      <c r="R1464" s="10"/>
      <c r="T1464" s="10">
        <f t="shared" si="410"/>
        <v>42930</v>
      </c>
    </row>
    <row r="1465" spans="2:20" x14ac:dyDescent="0.25">
      <c r="B1465" s="97">
        <f t="shared" si="400"/>
        <v>677</v>
      </c>
      <c r="C1465" s="29"/>
      <c r="D1465" s="29"/>
      <c r="E1465" s="29"/>
      <c r="F1465" s="53" t="s">
        <v>363</v>
      </c>
      <c r="G1465" s="125">
        <v>640</v>
      </c>
      <c r="H1465" s="29" t="s">
        <v>315</v>
      </c>
      <c r="I1465" s="15">
        <v>5500</v>
      </c>
      <c r="J1465" s="15">
        <v>6630</v>
      </c>
      <c r="K1465" s="15">
        <v>10280</v>
      </c>
      <c r="L1465" s="15">
        <v>1250</v>
      </c>
      <c r="M1465" s="15">
        <v>2793</v>
      </c>
      <c r="N1465" s="15"/>
      <c r="O1465" s="15"/>
      <c r="P1465" s="15"/>
      <c r="Q1465" s="15"/>
      <c r="R1465" s="15"/>
      <c r="T1465" s="15">
        <f t="shared" si="410"/>
        <v>5500</v>
      </c>
    </row>
    <row r="1466" spans="2:20" ht="15.75" x14ac:dyDescent="0.25">
      <c r="B1466" s="97">
        <f t="shared" si="400"/>
        <v>678</v>
      </c>
      <c r="C1466" s="45">
        <v>4</v>
      </c>
      <c r="D1466" s="293" t="s">
        <v>561</v>
      </c>
      <c r="E1466" s="294"/>
      <c r="F1466" s="294"/>
      <c r="G1466" s="294"/>
      <c r="H1466" s="295"/>
      <c r="I1466" s="46">
        <f>I1470+I1478+I1480+I1615+I1635+I1653+I1661+I1680+I1700+I1722+I1747</f>
        <v>1301371</v>
      </c>
      <c r="J1466" s="46">
        <f t="shared" ref="J1466:M1466" si="419">J1467</f>
        <v>1171729</v>
      </c>
      <c r="K1466" s="46">
        <f t="shared" si="419"/>
        <v>1179106</v>
      </c>
      <c r="L1466" s="46">
        <f t="shared" si="419"/>
        <v>1079745.1499999999</v>
      </c>
      <c r="M1466" s="46">
        <f t="shared" si="419"/>
        <v>948720</v>
      </c>
      <c r="N1466" s="46">
        <f>N1480+N1615+N1635+N1653+N1661+N1680+N1700+N1722+N1747</f>
        <v>33000</v>
      </c>
      <c r="O1466" s="46">
        <f>O1480+O1615+O1635+O1653+O1661+O1680+O1700+O1722+O1747</f>
        <v>40000</v>
      </c>
      <c r="P1466" s="46">
        <f t="shared" ref="P1466:Q1466" si="420">P1480+P1615+P1635+P1653+P1661+P1680+P1700+P1722+P1747</f>
        <v>65600</v>
      </c>
      <c r="Q1466" s="46">
        <f t="shared" si="420"/>
        <v>121787.76</v>
      </c>
      <c r="R1466" s="46">
        <f>R1480+R1615+R1635+R1653+R1661+R1680+R1700+R1722+R1747+R1478</f>
        <v>36851</v>
      </c>
      <c r="T1466" s="46">
        <f t="shared" si="410"/>
        <v>1334371</v>
      </c>
    </row>
    <row r="1467" spans="2:20" hidden="1" x14ac:dyDescent="0.25">
      <c r="B1467" s="97">
        <f t="shared" si="400"/>
        <v>679</v>
      </c>
      <c r="C1467" s="47"/>
      <c r="D1467" s="47" t="s">
        <v>60</v>
      </c>
      <c r="E1467" s="296"/>
      <c r="F1467" s="294"/>
      <c r="G1467" s="294"/>
      <c r="H1467" s="295"/>
      <c r="I1467" s="48"/>
      <c r="J1467" s="48">
        <f>J1747+J1722+J1700+J1680+J1661+J1653+J1635+J1615+J1480+J1468</f>
        <v>1171729</v>
      </c>
      <c r="K1467" s="48">
        <f>K1747+K1722+K1700+K1680+K1661+K1653+K1635+K1615+K1480+K1468</f>
        <v>1179106</v>
      </c>
      <c r="L1467" s="48">
        <f>L1747+L1722+L1700+L1680+L1661+L1653+L1635+L1615+L1480+L1468</f>
        <v>1079745.1499999999</v>
      </c>
      <c r="M1467" s="48">
        <f>M1747+M1722+M1700+M1680+M1661+M1653+M1635+M1615+M1480+M1468</f>
        <v>948720</v>
      </c>
      <c r="N1467" s="48"/>
      <c r="O1467" s="48">
        <f>O1747+O1722+O1700+O1680+O1661+O1653+O1635+O1615+O1480+O1468</f>
        <v>40000</v>
      </c>
      <c r="P1467" s="48">
        <f>P1747+P1722+P1700+P1680+P1661+P1653+P1635+P1615+P1480+P1468</f>
        <v>65600</v>
      </c>
      <c r="Q1467" s="48">
        <f>Q1747+Q1722+Q1700+Q1680+Q1661+Q1653+Q1635+Q1615+Q1480+Q1468</f>
        <v>121787.76</v>
      </c>
      <c r="R1467" s="48">
        <f>R1747+R1722+R1700+R1680+R1661+R1653+R1635+R1615+R1480+R1468</f>
        <v>36851</v>
      </c>
      <c r="T1467" s="48">
        <f t="shared" si="410"/>
        <v>0</v>
      </c>
    </row>
    <row r="1468" spans="2:20" hidden="1" x14ac:dyDescent="0.25">
      <c r="B1468" s="97">
        <f t="shared" si="400"/>
        <v>680</v>
      </c>
      <c r="C1468" s="49"/>
      <c r="D1468" s="49"/>
      <c r="E1468" s="49"/>
      <c r="F1468" s="49"/>
      <c r="G1468" s="123"/>
      <c r="H1468" s="49" t="s">
        <v>12</v>
      </c>
      <c r="I1468" s="50"/>
      <c r="J1468" s="50">
        <f t="shared" ref="J1468:R1468" si="421">J1469</f>
        <v>59480</v>
      </c>
      <c r="K1468" s="50">
        <f t="shared" si="421"/>
        <v>59480</v>
      </c>
      <c r="L1468" s="50">
        <f t="shared" si="421"/>
        <v>56862</v>
      </c>
      <c r="M1468" s="50">
        <f t="shared" si="421"/>
        <v>46254</v>
      </c>
      <c r="N1468" s="50"/>
      <c r="O1468" s="50">
        <f t="shared" si="421"/>
        <v>0</v>
      </c>
      <c r="P1468" s="50">
        <f t="shared" si="421"/>
        <v>0</v>
      </c>
      <c r="Q1468" s="50">
        <f t="shared" si="421"/>
        <v>0</v>
      </c>
      <c r="R1468" s="50">
        <f t="shared" si="421"/>
        <v>36851</v>
      </c>
      <c r="T1468" s="50">
        <f t="shared" si="410"/>
        <v>0</v>
      </c>
    </row>
    <row r="1469" spans="2:20" hidden="1" x14ac:dyDescent="0.25">
      <c r="B1469" s="97">
        <f t="shared" si="400"/>
        <v>681</v>
      </c>
      <c r="C1469" s="51"/>
      <c r="D1469" s="51"/>
      <c r="E1469" s="51" t="s">
        <v>60</v>
      </c>
      <c r="F1469" s="51"/>
      <c r="G1469" s="124"/>
      <c r="H1469" s="51" t="s">
        <v>557</v>
      </c>
      <c r="I1469" s="52"/>
      <c r="J1469" s="52">
        <f>J1478+J1470</f>
        <v>59480</v>
      </c>
      <c r="K1469" s="52">
        <f>K1478+K1470</f>
        <v>59480</v>
      </c>
      <c r="L1469" s="52">
        <f>L1478+L1470</f>
        <v>56862</v>
      </c>
      <c r="M1469" s="52">
        <f>M1478+M1470</f>
        <v>46254</v>
      </c>
      <c r="N1469" s="52"/>
      <c r="O1469" s="52">
        <f>O1478+O1470</f>
        <v>0</v>
      </c>
      <c r="P1469" s="52">
        <f>P1478+P1470</f>
        <v>0</v>
      </c>
      <c r="Q1469" s="52">
        <f>Q1478+Q1470</f>
        <v>0</v>
      </c>
      <c r="R1469" s="52">
        <f>R1478+R1470</f>
        <v>36851</v>
      </c>
      <c r="T1469" s="52">
        <f t="shared" si="410"/>
        <v>0</v>
      </c>
    </row>
    <row r="1470" spans="2:20" x14ac:dyDescent="0.25">
      <c r="B1470" s="97">
        <f t="shared" si="400"/>
        <v>682</v>
      </c>
      <c r="C1470" s="29"/>
      <c r="D1470" s="29"/>
      <c r="E1470" s="29"/>
      <c r="F1470" s="53" t="s">
        <v>562</v>
      </c>
      <c r="G1470" s="125">
        <v>640</v>
      </c>
      <c r="H1470" s="29" t="s">
        <v>315</v>
      </c>
      <c r="I1470" s="15">
        <f>I1471</f>
        <v>65783</v>
      </c>
      <c r="J1470" s="15">
        <f t="shared" ref="J1470:M1470" si="422">J1471</f>
        <v>59480</v>
      </c>
      <c r="K1470" s="15">
        <f t="shared" si="422"/>
        <v>59480</v>
      </c>
      <c r="L1470" s="15">
        <f t="shared" si="422"/>
        <v>56862</v>
      </c>
      <c r="M1470" s="15">
        <f t="shared" si="422"/>
        <v>46254</v>
      </c>
      <c r="N1470" s="15"/>
      <c r="O1470" s="15"/>
      <c r="P1470" s="15"/>
      <c r="Q1470" s="15"/>
      <c r="R1470" s="15"/>
      <c r="T1470" s="15">
        <f t="shared" si="410"/>
        <v>65783</v>
      </c>
    </row>
    <row r="1471" spans="2:20" x14ac:dyDescent="0.25">
      <c r="B1471" s="97">
        <f t="shared" si="400"/>
        <v>683</v>
      </c>
      <c r="C1471" s="9"/>
      <c r="D1471" s="9"/>
      <c r="E1471" s="9"/>
      <c r="F1471" s="54" t="s">
        <v>562</v>
      </c>
      <c r="G1471" s="126">
        <v>642</v>
      </c>
      <c r="H1471" s="9" t="s">
        <v>316</v>
      </c>
      <c r="I1471" s="10">
        <f>I1472+I1473+I1474+I1475+I1476+I1477</f>
        <v>65783</v>
      </c>
      <c r="J1471" s="10">
        <f t="shared" ref="J1471:M1471" si="423">J1477+J1476+J1475+J1474+J1473+J1472</f>
        <v>59480</v>
      </c>
      <c r="K1471" s="10">
        <f t="shared" si="423"/>
        <v>59480</v>
      </c>
      <c r="L1471" s="10">
        <f t="shared" si="423"/>
        <v>56862</v>
      </c>
      <c r="M1471" s="10">
        <f t="shared" si="423"/>
        <v>46254</v>
      </c>
      <c r="N1471" s="10"/>
      <c r="O1471" s="10"/>
      <c r="P1471" s="10"/>
      <c r="Q1471" s="10"/>
      <c r="R1471" s="10"/>
      <c r="T1471" s="10">
        <f t="shared" si="410"/>
        <v>65783</v>
      </c>
    </row>
    <row r="1472" spans="2:20" x14ac:dyDescent="0.25">
      <c r="B1472" s="97">
        <f t="shared" ref="B1472:B1486" si="424">B1471+1</f>
        <v>684</v>
      </c>
      <c r="C1472" s="12"/>
      <c r="D1472" s="12"/>
      <c r="E1472" s="12"/>
      <c r="F1472" s="12"/>
      <c r="G1472" s="127"/>
      <c r="H1472" s="12" t="s">
        <v>810</v>
      </c>
      <c r="I1472" s="13">
        <v>26007</v>
      </c>
      <c r="J1472" s="13">
        <v>24921</v>
      </c>
      <c r="K1472" s="13">
        <v>24921</v>
      </c>
      <c r="L1472" s="13">
        <v>23391</v>
      </c>
      <c r="M1472" s="13">
        <v>20727</v>
      </c>
      <c r="N1472" s="13"/>
      <c r="O1472" s="13"/>
      <c r="P1472" s="13"/>
      <c r="Q1472" s="13"/>
      <c r="R1472" s="13"/>
      <c r="T1472" s="13">
        <f t="shared" si="410"/>
        <v>26007</v>
      </c>
    </row>
    <row r="1473" spans="2:20" x14ac:dyDescent="0.25">
      <c r="B1473" s="97">
        <f t="shared" si="424"/>
        <v>685</v>
      </c>
      <c r="C1473" s="12"/>
      <c r="D1473" s="12"/>
      <c r="E1473" s="12"/>
      <c r="F1473" s="12"/>
      <c r="G1473" s="127"/>
      <c r="H1473" s="12" t="s">
        <v>811</v>
      </c>
      <c r="I1473" s="13">
        <v>23100</v>
      </c>
      <c r="J1473" s="13">
        <v>20239</v>
      </c>
      <c r="K1473" s="13">
        <v>20239</v>
      </c>
      <c r="L1473" s="13">
        <v>19514</v>
      </c>
      <c r="M1473" s="13">
        <v>16254</v>
      </c>
      <c r="N1473" s="13"/>
      <c r="O1473" s="13"/>
      <c r="P1473" s="13"/>
      <c r="Q1473" s="13"/>
      <c r="R1473" s="13"/>
      <c r="T1473" s="13">
        <f t="shared" si="410"/>
        <v>23100</v>
      </c>
    </row>
    <row r="1474" spans="2:20" x14ac:dyDescent="0.25">
      <c r="B1474" s="97">
        <f t="shared" si="424"/>
        <v>686</v>
      </c>
      <c r="C1474" s="12"/>
      <c r="D1474" s="12"/>
      <c r="E1474" s="12"/>
      <c r="F1474" s="12"/>
      <c r="G1474" s="127"/>
      <c r="H1474" s="12" t="s">
        <v>563</v>
      </c>
      <c r="I1474" s="13">
        <v>0</v>
      </c>
      <c r="J1474" s="13">
        <v>6334</v>
      </c>
      <c r="K1474" s="13"/>
      <c r="L1474" s="13">
        <v>8400</v>
      </c>
      <c r="M1474" s="13">
        <v>3164</v>
      </c>
      <c r="N1474" s="13"/>
      <c r="O1474" s="13"/>
      <c r="P1474" s="13"/>
      <c r="Q1474" s="13"/>
      <c r="R1474" s="13"/>
      <c r="T1474" s="13">
        <f t="shared" si="410"/>
        <v>0</v>
      </c>
    </row>
    <row r="1475" spans="2:20" x14ac:dyDescent="0.25">
      <c r="B1475" s="97">
        <f t="shared" si="424"/>
        <v>687</v>
      </c>
      <c r="C1475" s="12"/>
      <c r="D1475" s="12"/>
      <c r="E1475" s="12"/>
      <c r="F1475" s="12"/>
      <c r="G1475" s="127"/>
      <c r="H1475" s="12" t="s">
        <v>564</v>
      </c>
      <c r="I1475" s="13">
        <v>9332</v>
      </c>
      <c r="J1475" s="13">
        <v>6609</v>
      </c>
      <c r="K1475" s="13">
        <v>6609</v>
      </c>
      <c r="L1475" s="13">
        <v>5557</v>
      </c>
      <c r="M1475" s="13">
        <v>6109</v>
      </c>
      <c r="N1475" s="13"/>
      <c r="O1475" s="13"/>
      <c r="P1475" s="13"/>
      <c r="Q1475" s="13"/>
      <c r="R1475" s="13"/>
      <c r="T1475" s="13">
        <f t="shared" si="410"/>
        <v>9332</v>
      </c>
    </row>
    <row r="1476" spans="2:20" x14ac:dyDescent="0.25">
      <c r="B1476" s="97">
        <f t="shared" si="424"/>
        <v>688</v>
      </c>
      <c r="C1476" s="12"/>
      <c r="D1476" s="12"/>
      <c r="E1476" s="12"/>
      <c r="F1476" s="12"/>
      <c r="G1476" s="127"/>
      <c r="H1476" s="12" t="s">
        <v>565</v>
      </c>
      <c r="I1476" s="13">
        <v>1530</v>
      </c>
      <c r="J1476" s="13">
        <v>1377</v>
      </c>
      <c r="K1476" s="13">
        <v>1377</v>
      </c>
      <c r="L1476" s="13">
        <v>0</v>
      </c>
      <c r="M1476" s="13">
        <v>0</v>
      </c>
      <c r="N1476" s="13"/>
      <c r="O1476" s="13"/>
      <c r="P1476" s="13"/>
      <c r="Q1476" s="13"/>
      <c r="R1476" s="13"/>
      <c r="T1476" s="13">
        <f t="shared" si="410"/>
        <v>1530</v>
      </c>
    </row>
    <row r="1477" spans="2:20" x14ac:dyDescent="0.25">
      <c r="B1477" s="97">
        <f t="shared" si="424"/>
        <v>689</v>
      </c>
      <c r="C1477" s="12"/>
      <c r="D1477" s="12"/>
      <c r="E1477" s="12"/>
      <c r="F1477" s="12"/>
      <c r="G1477" s="127"/>
      <c r="H1477" s="12" t="s">
        <v>566</v>
      </c>
      <c r="I1477" s="13">
        <v>5814</v>
      </c>
      <c r="J1477" s="13">
        <v>0</v>
      </c>
      <c r="K1477" s="13">
        <v>6334</v>
      </c>
      <c r="L1477" s="13">
        <v>0</v>
      </c>
      <c r="M1477" s="13">
        <v>0</v>
      </c>
      <c r="N1477" s="13"/>
      <c r="O1477" s="13"/>
      <c r="P1477" s="13"/>
      <c r="Q1477" s="13"/>
      <c r="R1477" s="13"/>
      <c r="T1477" s="13">
        <f t="shared" si="410"/>
        <v>5814</v>
      </c>
    </row>
    <row r="1478" spans="2:20" x14ac:dyDescent="0.25">
      <c r="B1478" s="97">
        <f t="shared" si="424"/>
        <v>690</v>
      </c>
      <c r="C1478" s="29"/>
      <c r="D1478" s="29"/>
      <c r="E1478" s="29"/>
      <c r="F1478" s="53" t="s">
        <v>562</v>
      </c>
      <c r="G1478" s="125">
        <v>710</v>
      </c>
      <c r="H1478" s="29" t="s">
        <v>321</v>
      </c>
      <c r="I1478" s="15"/>
      <c r="J1478" s="15"/>
      <c r="K1478" s="15"/>
      <c r="L1478" s="15"/>
      <c r="M1478" s="15"/>
      <c r="N1478" s="15"/>
      <c r="O1478" s="15"/>
      <c r="P1478" s="15"/>
      <c r="Q1478" s="15"/>
      <c r="R1478" s="15">
        <f t="shared" ref="R1478" si="425">R1479</f>
        <v>36851</v>
      </c>
      <c r="T1478" s="15">
        <f t="shared" si="410"/>
        <v>0</v>
      </c>
    </row>
    <row r="1479" spans="2:20" x14ac:dyDescent="0.25">
      <c r="B1479" s="97">
        <f t="shared" si="424"/>
        <v>691</v>
      </c>
      <c r="C1479" s="9"/>
      <c r="D1479" s="9"/>
      <c r="E1479" s="9"/>
      <c r="F1479" s="54" t="s">
        <v>562</v>
      </c>
      <c r="G1479" s="126">
        <v>717</v>
      </c>
      <c r="H1479" s="9" t="s">
        <v>327</v>
      </c>
      <c r="I1479" s="10"/>
      <c r="J1479" s="10"/>
      <c r="K1479" s="10"/>
      <c r="L1479" s="10"/>
      <c r="M1479" s="10"/>
      <c r="N1479" s="10"/>
      <c r="O1479" s="10"/>
      <c r="P1479" s="10"/>
      <c r="Q1479" s="10"/>
      <c r="R1479" s="10">
        <v>36851</v>
      </c>
      <c r="T1479" s="10">
        <f t="shared" si="410"/>
        <v>0</v>
      </c>
    </row>
    <row r="1480" spans="2:20" x14ac:dyDescent="0.25">
      <c r="B1480" s="97">
        <f t="shared" si="424"/>
        <v>692</v>
      </c>
      <c r="C1480" s="49"/>
      <c r="D1480" s="49"/>
      <c r="E1480" s="49">
        <v>4</v>
      </c>
      <c r="F1480" s="49"/>
      <c r="G1480" s="123"/>
      <c r="H1480" s="49" t="s">
        <v>100</v>
      </c>
      <c r="I1480" s="50">
        <f>I1481+I1491+I1501+I1509+I1516+I1526+I1536+I1547+I1557+I1567+I1576+I1585+I1593+I1603</f>
        <v>433710</v>
      </c>
      <c r="J1480" s="50">
        <f>J1603+J1593+J1585+J1576+J1567+J1557+J1547+J1536+J1526+J1516+J1509+J1501+J1491+J1481</f>
        <v>393257</v>
      </c>
      <c r="K1480" s="50">
        <f>K1603+K1593+K1585+K1576+K1567+K1557+K1547+K1536+K1526+K1516+K1509+K1501+K1491+K1481</f>
        <v>396507</v>
      </c>
      <c r="L1480" s="50">
        <f>L1603+L1593+L1585+L1576+L1567+L1557+L1547+L1536+L1526+L1516+L1509+L1501+L1491+L1481</f>
        <v>347839</v>
      </c>
      <c r="M1480" s="50">
        <f>M1603+M1593+M1585+M1576+M1567+M1557+M1547+M1536+M1526+M1516+M1509+M1501+M1491+M1481</f>
        <v>315657</v>
      </c>
      <c r="N1480" s="50">
        <v>0</v>
      </c>
      <c r="O1480" s="50">
        <f>O1603+O1593+O1585+O1576+O1567+O1557+O1547+O1536+O1526+O1516+O1509+O1501+O1491+O1481</f>
        <v>0</v>
      </c>
      <c r="P1480" s="50">
        <f>P1603+P1593+P1585+P1576+P1567+P1557+P1547+P1536+P1526+P1516+P1509+P1501+P1491+P1481</f>
        <v>0</v>
      </c>
      <c r="Q1480" s="50">
        <f>Q1603+Q1593+Q1585+Q1576+Q1567+Q1557+Q1547+Q1536+Q1526+Q1516+Q1509+Q1501+Q1491+Q1481</f>
        <v>56297.759999999995</v>
      </c>
      <c r="R1480" s="50">
        <f>R1603+R1593+R1585+R1576+R1567+R1557+R1547+R1536+R1526+R1516+R1509+R1501+R1491+R1481</f>
        <v>0</v>
      </c>
      <c r="T1480" s="50">
        <f t="shared" si="410"/>
        <v>433710</v>
      </c>
    </row>
    <row r="1481" spans="2:20" x14ac:dyDescent="0.25">
      <c r="B1481" s="97">
        <f t="shared" si="424"/>
        <v>693</v>
      </c>
      <c r="C1481" s="51"/>
      <c r="D1481" s="51"/>
      <c r="E1481" s="51" t="s">
        <v>102</v>
      </c>
      <c r="F1481" s="51"/>
      <c r="G1481" s="124"/>
      <c r="H1481" s="51" t="s">
        <v>103</v>
      </c>
      <c r="I1481" s="52">
        <f>I1482+I1483+I1484+I1488+I1489</f>
        <v>22403</v>
      </c>
      <c r="J1481" s="52">
        <f t="shared" ref="J1481:R1481" si="426">J1489+J1488+J1484+J1483+J1482</f>
        <v>18530</v>
      </c>
      <c r="K1481" s="52">
        <f t="shared" si="426"/>
        <v>20430</v>
      </c>
      <c r="L1481" s="52">
        <f t="shared" si="426"/>
        <v>17334</v>
      </c>
      <c r="M1481" s="52">
        <f t="shared" si="426"/>
        <v>16355</v>
      </c>
      <c r="N1481" s="52">
        <v>0</v>
      </c>
      <c r="O1481" s="52">
        <f t="shared" si="426"/>
        <v>0</v>
      </c>
      <c r="P1481" s="52">
        <f t="shared" si="426"/>
        <v>0</v>
      </c>
      <c r="Q1481" s="52">
        <f t="shared" si="426"/>
        <v>578.88</v>
      </c>
      <c r="R1481" s="52">
        <f t="shared" si="426"/>
        <v>0</v>
      </c>
      <c r="T1481" s="52">
        <f t="shared" si="410"/>
        <v>22403</v>
      </c>
    </row>
    <row r="1482" spans="2:20" x14ac:dyDescent="0.25">
      <c r="B1482" s="97">
        <f t="shared" si="424"/>
        <v>694</v>
      </c>
      <c r="C1482" s="29"/>
      <c r="D1482" s="29"/>
      <c r="E1482" s="29"/>
      <c r="F1482" s="53" t="s">
        <v>562</v>
      </c>
      <c r="G1482" s="125">
        <v>610</v>
      </c>
      <c r="H1482" s="29" t="s">
        <v>338</v>
      </c>
      <c r="I1482" s="15">
        <f>13780+180</f>
        <v>13960</v>
      </c>
      <c r="J1482" s="15">
        <v>11600</v>
      </c>
      <c r="K1482" s="15">
        <v>13000</v>
      </c>
      <c r="L1482" s="15">
        <v>10892</v>
      </c>
      <c r="M1482" s="15">
        <v>10849</v>
      </c>
      <c r="N1482" s="15"/>
      <c r="O1482" s="15"/>
      <c r="P1482" s="15"/>
      <c r="Q1482" s="15"/>
      <c r="R1482" s="15"/>
      <c r="T1482" s="15">
        <f t="shared" si="410"/>
        <v>13960</v>
      </c>
    </row>
    <row r="1483" spans="2:20" x14ac:dyDescent="0.25">
      <c r="B1483" s="97">
        <f t="shared" si="424"/>
        <v>695</v>
      </c>
      <c r="C1483" s="29"/>
      <c r="D1483" s="29"/>
      <c r="E1483" s="29"/>
      <c r="F1483" s="53" t="s">
        <v>562</v>
      </c>
      <c r="G1483" s="125">
        <v>620</v>
      </c>
      <c r="H1483" s="29" t="s">
        <v>313</v>
      </c>
      <c r="I1483" s="15">
        <f>5100+63</f>
        <v>5163</v>
      </c>
      <c r="J1483" s="15">
        <v>4310</v>
      </c>
      <c r="K1483" s="15">
        <v>4810</v>
      </c>
      <c r="L1483" s="15">
        <v>4056</v>
      </c>
      <c r="M1483" s="15">
        <v>3891</v>
      </c>
      <c r="N1483" s="15"/>
      <c r="O1483" s="15"/>
      <c r="P1483" s="15"/>
      <c r="Q1483" s="15"/>
      <c r="R1483" s="15"/>
      <c r="T1483" s="15">
        <f t="shared" si="410"/>
        <v>5163</v>
      </c>
    </row>
    <row r="1484" spans="2:20" x14ac:dyDescent="0.25">
      <c r="B1484" s="97">
        <f t="shared" si="424"/>
        <v>696</v>
      </c>
      <c r="C1484" s="29"/>
      <c r="D1484" s="29"/>
      <c r="E1484" s="29"/>
      <c r="F1484" s="53" t="s">
        <v>562</v>
      </c>
      <c r="G1484" s="125">
        <v>630</v>
      </c>
      <c r="H1484" s="29" t="s">
        <v>303</v>
      </c>
      <c r="I1484" s="15">
        <f>I1485+I1486+I1487</f>
        <v>3280</v>
      </c>
      <c r="J1484" s="15">
        <f t="shared" ref="J1484:M1484" si="427">J1487+J1486+J1485</f>
        <v>2620</v>
      </c>
      <c r="K1484" s="15">
        <f t="shared" si="427"/>
        <v>2620</v>
      </c>
      <c r="L1484" s="15">
        <f t="shared" si="427"/>
        <v>1987</v>
      </c>
      <c r="M1484" s="15">
        <f t="shared" si="427"/>
        <v>1615</v>
      </c>
      <c r="N1484" s="15"/>
      <c r="O1484" s="15"/>
      <c r="P1484" s="15"/>
      <c r="Q1484" s="15"/>
      <c r="R1484" s="15"/>
      <c r="T1484" s="15">
        <f t="shared" si="410"/>
        <v>3280</v>
      </c>
    </row>
    <row r="1485" spans="2:20" x14ac:dyDescent="0.25">
      <c r="B1485" s="97">
        <f t="shared" si="424"/>
        <v>697</v>
      </c>
      <c r="C1485" s="9"/>
      <c r="D1485" s="9"/>
      <c r="E1485" s="9"/>
      <c r="F1485" s="54" t="s">
        <v>562</v>
      </c>
      <c r="G1485" s="126">
        <v>633</v>
      </c>
      <c r="H1485" s="9" t="s">
        <v>305</v>
      </c>
      <c r="I1485" s="10">
        <v>1200</v>
      </c>
      <c r="J1485" s="10">
        <v>1650</v>
      </c>
      <c r="K1485" s="10">
        <v>1650</v>
      </c>
      <c r="L1485" s="10">
        <v>1153</v>
      </c>
      <c r="M1485" s="10">
        <v>798</v>
      </c>
      <c r="N1485" s="10"/>
      <c r="O1485" s="10"/>
      <c r="P1485" s="10"/>
      <c r="Q1485" s="10"/>
      <c r="R1485" s="10"/>
      <c r="T1485" s="10">
        <f t="shared" si="410"/>
        <v>1200</v>
      </c>
    </row>
    <row r="1486" spans="2:20" x14ac:dyDescent="0.25">
      <c r="B1486" s="97">
        <f t="shared" si="424"/>
        <v>698</v>
      </c>
      <c r="C1486" s="9"/>
      <c r="D1486" s="9"/>
      <c r="E1486" s="9"/>
      <c r="F1486" s="54" t="s">
        <v>562</v>
      </c>
      <c r="G1486" s="126">
        <v>635</v>
      </c>
      <c r="H1486" s="9" t="s">
        <v>320</v>
      </c>
      <c r="I1486" s="10">
        <v>1400</v>
      </c>
      <c r="J1486" s="10">
        <v>100</v>
      </c>
      <c r="K1486" s="10">
        <v>100</v>
      </c>
      <c r="L1486" s="10">
        <v>179</v>
      </c>
      <c r="M1486" s="10">
        <v>0</v>
      </c>
      <c r="N1486" s="10"/>
      <c r="O1486" s="10"/>
      <c r="P1486" s="10"/>
      <c r="Q1486" s="10"/>
      <c r="R1486" s="10"/>
      <c r="T1486" s="10">
        <f t="shared" si="410"/>
        <v>1400</v>
      </c>
    </row>
    <row r="1487" spans="2:20" x14ac:dyDescent="0.25">
      <c r="B1487" s="97">
        <f t="shared" ref="B1487:B1527" si="428">B1486+1</f>
        <v>699</v>
      </c>
      <c r="C1487" s="9"/>
      <c r="D1487" s="9"/>
      <c r="E1487" s="9"/>
      <c r="F1487" s="54" t="s">
        <v>562</v>
      </c>
      <c r="G1487" s="126">
        <v>637</v>
      </c>
      <c r="H1487" s="9" t="s">
        <v>308</v>
      </c>
      <c r="I1487" s="10">
        <v>680</v>
      </c>
      <c r="J1487" s="10">
        <v>870</v>
      </c>
      <c r="K1487" s="10">
        <v>870</v>
      </c>
      <c r="L1487" s="10">
        <v>655</v>
      </c>
      <c r="M1487" s="10">
        <v>817</v>
      </c>
      <c r="N1487" s="10"/>
      <c r="O1487" s="10"/>
      <c r="P1487" s="10"/>
      <c r="Q1487" s="10"/>
      <c r="R1487" s="10"/>
      <c r="T1487" s="10">
        <f t="shared" si="410"/>
        <v>680</v>
      </c>
    </row>
    <row r="1488" spans="2:20" x14ac:dyDescent="0.25">
      <c r="B1488" s="97">
        <f t="shared" si="428"/>
        <v>700</v>
      </c>
      <c r="C1488" s="29"/>
      <c r="D1488" s="29"/>
      <c r="E1488" s="29"/>
      <c r="F1488" s="53" t="s">
        <v>562</v>
      </c>
      <c r="G1488" s="125">
        <v>640</v>
      </c>
      <c r="H1488" s="29" t="s">
        <v>315</v>
      </c>
      <c r="I1488" s="15">
        <v>0</v>
      </c>
      <c r="J1488" s="15">
        <v>0</v>
      </c>
      <c r="K1488" s="15">
        <v>0</v>
      </c>
      <c r="L1488" s="15">
        <v>399</v>
      </c>
      <c r="M1488" s="15">
        <v>0</v>
      </c>
      <c r="N1488" s="15"/>
      <c r="O1488" s="15"/>
      <c r="P1488" s="15"/>
      <c r="Q1488" s="15"/>
      <c r="R1488" s="15"/>
      <c r="T1488" s="15">
        <f t="shared" si="410"/>
        <v>0</v>
      </c>
    </row>
    <row r="1489" spans="2:20" x14ac:dyDescent="0.25">
      <c r="B1489" s="97">
        <f t="shared" si="428"/>
        <v>701</v>
      </c>
      <c r="C1489" s="29"/>
      <c r="D1489" s="29"/>
      <c r="E1489" s="29"/>
      <c r="F1489" s="53" t="s">
        <v>562</v>
      </c>
      <c r="G1489" s="125">
        <v>710</v>
      </c>
      <c r="H1489" s="29" t="s">
        <v>321</v>
      </c>
      <c r="I1489" s="15"/>
      <c r="J1489" s="15"/>
      <c r="K1489" s="15"/>
      <c r="L1489" s="15"/>
      <c r="M1489" s="15"/>
      <c r="N1489" s="15"/>
      <c r="O1489" s="15"/>
      <c r="P1489" s="15"/>
      <c r="Q1489" s="15">
        <f t="shared" ref="Q1489" si="429">Q1490</f>
        <v>578.88</v>
      </c>
      <c r="R1489" s="15"/>
      <c r="T1489" s="15">
        <f t="shared" si="410"/>
        <v>0</v>
      </c>
    </row>
    <row r="1490" spans="2:20" x14ac:dyDescent="0.25">
      <c r="B1490" s="97">
        <f t="shared" si="428"/>
        <v>702</v>
      </c>
      <c r="C1490" s="9"/>
      <c r="D1490" s="9"/>
      <c r="E1490" s="9"/>
      <c r="F1490" s="54" t="s">
        <v>562</v>
      </c>
      <c r="G1490" s="126">
        <v>713</v>
      </c>
      <c r="H1490" s="9" t="s">
        <v>360</v>
      </c>
      <c r="I1490" s="10"/>
      <c r="J1490" s="10"/>
      <c r="K1490" s="10"/>
      <c r="L1490" s="10"/>
      <c r="M1490" s="10"/>
      <c r="N1490" s="10"/>
      <c r="O1490" s="10"/>
      <c r="P1490" s="10"/>
      <c r="Q1490" s="10">
        <v>578.88</v>
      </c>
      <c r="R1490" s="10"/>
      <c r="T1490" s="10">
        <f t="shared" si="410"/>
        <v>0</v>
      </c>
    </row>
    <row r="1491" spans="2:20" x14ac:dyDescent="0.25">
      <c r="B1491" s="97">
        <f t="shared" si="428"/>
        <v>703</v>
      </c>
      <c r="C1491" s="51"/>
      <c r="D1491" s="51"/>
      <c r="E1491" s="51" t="s">
        <v>104</v>
      </c>
      <c r="F1491" s="51"/>
      <c r="G1491" s="124"/>
      <c r="H1491" s="51" t="s">
        <v>105</v>
      </c>
      <c r="I1491" s="52">
        <f>I1492+I1493+I1494+I1498+I1499</f>
        <v>29555</v>
      </c>
      <c r="J1491" s="52">
        <f t="shared" ref="J1491:R1491" si="430">J1499+J1498+J1494+J1493+J1492</f>
        <v>25160</v>
      </c>
      <c r="K1491" s="52">
        <f t="shared" si="430"/>
        <v>25160</v>
      </c>
      <c r="L1491" s="52">
        <f t="shared" si="430"/>
        <v>22633</v>
      </c>
      <c r="M1491" s="52">
        <f t="shared" si="430"/>
        <v>19916</v>
      </c>
      <c r="N1491" s="52">
        <v>0</v>
      </c>
      <c r="O1491" s="52">
        <f t="shared" si="430"/>
        <v>0</v>
      </c>
      <c r="P1491" s="52">
        <f t="shared" si="430"/>
        <v>0</v>
      </c>
      <c r="Q1491" s="52">
        <f t="shared" si="430"/>
        <v>2672</v>
      </c>
      <c r="R1491" s="52">
        <f t="shared" si="430"/>
        <v>0</v>
      </c>
      <c r="T1491" s="52">
        <f t="shared" si="410"/>
        <v>29555</v>
      </c>
    </row>
    <row r="1492" spans="2:20" x14ac:dyDescent="0.25">
      <c r="B1492" s="97">
        <f t="shared" si="428"/>
        <v>704</v>
      </c>
      <c r="C1492" s="29"/>
      <c r="D1492" s="29"/>
      <c r="E1492" s="29"/>
      <c r="F1492" s="53" t="s">
        <v>562</v>
      </c>
      <c r="G1492" s="125">
        <v>610</v>
      </c>
      <c r="H1492" s="29" t="s">
        <v>338</v>
      </c>
      <c r="I1492" s="15">
        <f>17384+720</f>
        <v>18104</v>
      </c>
      <c r="J1492" s="15">
        <v>16400</v>
      </c>
      <c r="K1492" s="15">
        <v>16400</v>
      </c>
      <c r="L1492" s="15">
        <v>15025</v>
      </c>
      <c r="M1492" s="15">
        <v>13440</v>
      </c>
      <c r="N1492" s="15"/>
      <c r="O1492" s="15"/>
      <c r="P1492" s="15"/>
      <c r="Q1492" s="15"/>
      <c r="R1492" s="15"/>
      <c r="T1492" s="15">
        <f t="shared" si="410"/>
        <v>18104</v>
      </c>
    </row>
    <row r="1493" spans="2:20" x14ac:dyDescent="0.25">
      <c r="B1493" s="97">
        <f t="shared" si="428"/>
        <v>705</v>
      </c>
      <c r="C1493" s="29"/>
      <c r="D1493" s="29"/>
      <c r="E1493" s="29"/>
      <c r="F1493" s="53" t="s">
        <v>562</v>
      </c>
      <c r="G1493" s="125">
        <v>620</v>
      </c>
      <c r="H1493" s="29" t="s">
        <v>313</v>
      </c>
      <c r="I1493" s="15">
        <f>6459+252</f>
        <v>6711</v>
      </c>
      <c r="J1493" s="15">
        <v>6095</v>
      </c>
      <c r="K1493" s="15">
        <v>6095</v>
      </c>
      <c r="L1493" s="15">
        <v>5210</v>
      </c>
      <c r="M1493" s="15">
        <v>4671</v>
      </c>
      <c r="N1493" s="15"/>
      <c r="O1493" s="15"/>
      <c r="P1493" s="15"/>
      <c r="Q1493" s="15"/>
      <c r="R1493" s="15"/>
      <c r="T1493" s="15">
        <f t="shared" si="410"/>
        <v>6711</v>
      </c>
    </row>
    <row r="1494" spans="2:20" x14ac:dyDescent="0.25">
      <c r="B1494" s="97">
        <f t="shared" si="428"/>
        <v>706</v>
      </c>
      <c r="C1494" s="29"/>
      <c r="D1494" s="29"/>
      <c r="E1494" s="29"/>
      <c r="F1494" s="53" t="s">
        <v>562</v>
      </c>
      <c r="G1494" s="125">
        <v>630</v>
      </c>
      <c r="H1494" s="29" t="s">
        <v>303</v>
      </c>
      <c r="I1494" s="15">
        <f>I1495+I1496+I1497</f>
        <v>4740</v>
      </c>
      <c r="J1494" s="15">
        <f t="shared" ref="J1494:M1494" si="431">J1497+J1496+J1495</f>
        <v>2665</v>
      </c>
      <c r="K1494" s="15">
        <f t="shared" si="431"/>
        <v>2665</v>
      </c>
      <c r="L1494" s="15">
        <f t="shared" si="431"/>
        <v>2398</v>
      </c>
      <c r="M1494" s="15">
        <f t="shared" si="431"/>
        <v>1736</v>
      </c>
      <c r="N1494" s="15"/>
      <c r="O1494" s="15"/>
      <c r="P1494" s="15"/>
      <c r="Q1494" s="15"/>
      <c r="R1494" s="15"/>
      <c r="T1494" s="15">
        <f t="shared" si="410"/>
        <v>4740</v>
      </c>
    </row>
    <row r="1495" spans="2:20" x14ac:dyDescent="0.25">
      <c r="B1495" s="97">
        <f t="shared" si="428"/>
        <v>707</v>
      </c>
      <c r="C1495" s="9"/>
      <c r="D1495" s="9"/>
      <c r="E1495" s="9"/>
      <c r="F1495" s="54" t="s">
        <v>562</v>
      </c>
      <c r="G1495" s="126">
        <v>633</v>
      </c>
      <c r="H1495" s="9" t="s">
        <v>305</v>
      </c>
      <c r="I1495" s="10">
        <v>1900</v>
      </c>
      <c r="J1495" s="10">
        <v>1550</v>
      </c>
      <c r="K1495" s="10">
        <v>1550</v>
      </c>
      <c r="L1495" s="10">
        <v>1182</v>
      </c>
      <c r="M1495" s="10">
        <v>781</v>
      </c>
      <c r="N1495" s="10"/>
      <c r="O1495" s="10"/>
      <c r="P1495" s="10"/>
      <c r="Q1495" s="10"/>
      <c r="R1495" s="10"/>
      <c r="T1495" s="10">
        <f t="shared" si="410"/>
        <v>1900</v>
      </c>
    </row>
    <row r="1496" spans="2:20" x14ac:dyDescent="0.25">
      <c r="B1496" s="97">
        <f t="shared" si="428"/>
        <v>708</v>
      </c>
      <c r="C1496" s="9"/>
      <c r="D1496" s="9"/>
      <c r="E1496" s="9"/>
      <c r="F1496" s="54" t="s">
        <v>562</v>
      </c>
      <c r="G1496" s="126">
        <v>635</v>
      </c>
      <c r="H1496" s="9" t="s">
        <v>320</v>
      </c>
      <c r="I1496" s="10">
        <v>1600</v>
      </c>
      <c r="J1496" s="10">
        <v>150</v>
      </c>
      <c r="K1496" s="10">
        <v>150</v>
      </c>
      <c r="L1496" s="10">
        <v>65</v>
      </c>
      <c r="M1496" s="10">
        <v>0</v>
      </c>
      <c r="N1496" s="10"/>
      <c r="O1496" s="10"/>
      <c r="P1496" s="10"/>
      <c r="Q1496" s="10"/>
      <c r="R1496" s="10"/>
      <c r="T1496" s="10">
        <f t="shared" si="410"/>
        <v>1600</v>
      </c>
    </row>
    <row r="1497" spans="2:20" x14ac:dyDescent="0.25">
      <c r="B1497" s="97">
        <f t="shared" si="428"/>
        <v>709</v>
      </c>
      <c r="C1497" s="9"/>
      <c r="D1497" s="9"/>
      <c r="E1497" s="9"/>
      <c r="F1497" s="54" t="s">
        <v>562</v>
      </c>
      <c r="G1497" s="126">
        <v>637</v>
      </c>
      <c r="H1497" s="9" t="s">
        <v>308</v>
      </c>
      <c r="I1497" s="10">
        <v>1240</v>
      </c>
      <c r="J1497" s="10">
        <v>965</v>
      </c>
      <c r="K1497" s="10">
        <v>965</v>
      </c>
      <c r="L1497" s="10">
        <v>1151</v>
      </c>
      <c r="M1497" s="10">
        <v>955</v>
      </c>
      <c r="N1497" s="10"/>
      <c r="O1497" s="10"/>
      <c r="P1497" s="10"/>
      <c r="Q1497" s="10"/>
      <c r="R1497" s="10"/>
      <c r="T1497" s="10">
        <f t="shared" ref="T1497:T1560" si="432">I1497+N1497</f>
        <v>1240</v>
      </c>
    </row>
    <row r="1498" spans="2:20" x14ac:dyDescent="0.25">
      <c r="B1498" s="97">
        <f t="shared" si="428"/>
        <v>710</v>
      </c>
      <c r="C1498" s="29"/>
      <c r="D1498" s="29"/>
      <c r="E1498" s="29"/>
      <c r="F1498" s="53" t="s">
        <v>562</v>
      </c>
      <c r="G1498" s="125">
        <v>640</v>
      </c>
      <c r="H1498" s="29" t="s">
        <v>315</v>
      </c>
      <c r="I1498" s="15">
        <v>0</v>
      </c>
      <c r="J1498" s="15">
        <v>0</v>
      </c>
      <c r="K1498" s="15">
        <v>0</v>
      </c>
      <c r="L1498" s="15">
        <v>0</v>
      </c>
      <c r="M1498" s="15">
        <v>69</v>
      </c>
      <c r="N1498" s="15"/>
      <c r="O1498" s="15"/>
      <c r="P1498" s="15"/>
      <c r="Q1498" s="15"/>
      <c r="R1498" s="15"/>
      <c r="T1498" s="15">
        <f t="shared" si="432"/>
        <v>0</v>
      </c>
    </row>
    <row r="1499" spans="2:20" x14ac:dyDescent="0.25">
      <c r="B1499" s="97">
        <f t="shared" si="428"/>
        <v>711</v>
      </c>
      <c r="C1499" s="29"/>
      <c r="D1499" s="29"/>
      <c r="E1499" s="29"/>
      <c r="F1499" s="53" t="s">
        <v>562</v>
      </c>
      <c r="G1499" s="125">
        <v>710</v>
      </c>
      <c r="H1499" s="29" t="s">
        <v>321</v>
      </c>
      <c r="I1499" s="15"/>
      <c r="J1499" s="15"/>
      <c r="K1499" s="15"/>
      <c r="L1499" s="15"/>
      <c r="M1499" s="15"/>
      <c r="N1499" s="15"/>
      <c r="O1499" s="15"/>
      <c r="P1499" s="15"/>
      <c r="Q1499" s="15">
        <f>Q1500</f>
        <v>2672</v>
      </c>
      <c r="R1499" s="15"/>
      <c r="T1499" s="15">
        <f t="shared" si="432"/>
        <v>0</v>
      </c>
    </row>
    <row r="1500" spans="2:20" x14ac:dyDescent="0.25">
      <c r="B1500" s="97">
        <f t="shared" si="428"/>
        <v>712</v>
      </c>
      <c r="C1500" s="9"/>
      <c r="D1500" s="9"/>
      <c r="E1500" s="9"/>
      <c r="F1500" s="54" t="s">
        <v>562</v>
      </c>
      <c r="G1500" s="126">
        <v>713</v>
      </c>
      <c r="H1500" s="9" t="s">
        <v>360</v>
      </c>
      <c r="I1500" s="10"/>
      <c r="J1500" s="10"/>
      <c r="K1500" s="10"/>
      <c r="L1500" s="10"/>
      <c r="M1500" s="10"/>
      <c r="N1500" s="10"/>
      <c r="O1500" s="10"/>
      <c r="P1500" s="10"/>
      <c r="Q1500" s="10">
        <v>2672</v>
      </c>
      <c r="R1500" s="10"/>
      <c r="T1500" s="10">
        <f t="shared" si="432"/>
        <v>0</v>
      </c>
    </row>
    <row r="1501" spans="2:20" x14ac:dyDescent="0.25">
      <c r="B1501" s="97">
        <f t="shared" si="428"/>
        <v>713</v>
      </c>
      <c r="C1501" s="51"/>
      <c r="D1501" s="51"/>
      <c r="E1501" s="51" t="s">
        <v>106</v>
      </c>
      <c r="F1501" s="51"/>
      <c r="G1501" s="124"/>
      <c r="H1501" s="51" t="s">
        <v>107</v>
      </c>
      <c r="I1501" s="52">
        <f>I1502+I1503+I1504+I1508</f>
        <v>20763</v>
      </c>
      <c r="J1501" s="52">
        <f t="shared" ref="J1501:L1501" si="433">J1502+J1503+J1504+J1508</f>
        <v>17879</v>
      </c>
      <c r="K1501" s="52">
        <f t="shared" si="433"/>
        <v>18879</v>
      </c>
      <c r="L1501" s="52">
        <f t="shared" si="433"/>
        <v>16448</v>
      </c>
      <c r="M1501" s="52">
        <f>M1502+M1503+M1504+M1508</f>
        <v>12088</v>
      </c>
      <c r="N1501" s="52">
        <v>0</v>
      </c>
      <c r="O1501" s="52">
        <v>0</v>
      </c>
      <c r="P1501" s="52">
        <v>0</v>
      </c>
      <c r="Q1501" s="52">
        <v>0</v>
      </c>
      <c r="R1501" s="52">
        <v>0</v>
      </c>
      <c r="T1501" s="52">
        <f t="shared" si="432"/>
        <v>20763</v>
      </c>
    </row>
    <row r="1502" spans="2:20" x14ac:dyDescent="0.25">
      <c r="B1502" s="97">
        <f t="shared" si="428"/>
        <v>714</v>
      </c>
      <c r="C1502" s="29"/>
      <c r="D1502" s="29"/>
      <c r="E1502" s="29"/>
      <c r="F1502" s="53" t="s">
        <v>562</v>
      </c>
      <c r="G1502" s="125">
        <v>610</v>
      </c>
      <c r="H1502" s="29" t="s">
        <v>338</v>
      </c>
      <c r="I1502" s="15">
        <f>12640+180</f>
        <v>12820</v>
      </c>
      <c r="J1502" s="15">
        <v>10924</v>
      </c>
      <c r="K1502" s="15">
        <v>11924</v>
      </c>
      <c r="L1502" s="15">
        <v>10571</v>
      </c>
      <c r="M1502" s="15">
        <v>7724</v>
      </c>
      <c r="N1502" s="15"/>
      <c r="O1502" s="15"/>
      <c r="P1502" s="15"/>
      <c r="Q1502" s="15"/>
      <c r="R1502" s="15"/>
      <c r="T1502" s="15">
        <f t="shared" si="432"/>
        <v>12820</v>
      </c>
    </row>
    <row r="1503" spans="2:20" x14ac:dyDescent="0.25">
      <c r="B1503" s="97">
        <f t="shared" si="428"/>
        <v>715</v>
      </c>
      <c r="C1503" s="29"/>
      <c r="D1503" s="29"/>
      <c r="E1503" s="29"/>
      <c r="F1503" s="53" t="s">
        <v>562</v>
      </c>
      <c r="G1503" s="125">
        <v>620</v>
      </c>
      <c r="H1503" s="29" t="s">
        <v>313</v>
      </c>
      <c r="I1503" s="15">
        <f>4740+63</f>
        <v>4803</v>
      </c>
      <c r="J1503" s="15">
        <v>4475</v>
      </c>
      <c r="K1503" s="15">
        <v>4475</v>
      </c>
      <c r="L1503" s="15">
        <v>3870</v>
      </c>
      <c r="M1503" s="15">
        <v>2836</v>
      </c>
      <c r="N1503" s="15"/>
      <c r="O1503" s="15"/>
      <c r="P1503" s="15"/>
      <c r="Q1503" s="15"/>
      <c r="R1503" s="15"/>
      <c r="T1503" s="15">
        <f t="shared" si="432"/>
        <v>4803</v>
      </c>
    </row>
    <row r="1504" spans="2:20" x14ac:dyDescent="0.25">
      <c r="B1504" s="97">
        <f t="shared" si="428"/>
        <v>716</v>
      </c>
      <c r="C1504" s="29"/>
      <c r="D1504" s="29"/>
      <c r="E1504" s="29"/>
      <c r="F1504" s="53" t="s">
        <v>562</v>
      </c>
      <c r="G1504" s="125">
        <v>630</v>
      </c>
      <c r="H1504" s="29" t="s">
        <v>303</v>
      </c>
      <c r="I1504" s="15">
        <f>I1505+I1506+I1507</f>
        <v>3140</v>
      </c>
      <c r="J1504" s="15">
        <f t="shared" ref="J1504:M1504" si="434">J1507+J1506+J1505</f>
        <v>2480</v>
      </c>
      <c r="K1504" s="15">
        <f t="shared" si="434"/>
        <v>2480</v>
      </c>
      <c r="L1504" s="15">
        <f t="shared" si="434"/>
        <v>1972</v>
      </c>
      <c r="M1504" s="15">
        <f t="shared" si="434"/>
        <v>1528</v>
      </c>
      <c r="N1504" s="15"/>
      <c r="O1504" s="15"/>
      <c r="P1504" s="15"/>
      <c r="Q1504" s="15"/>
      <c r="R1504" s="15"/>
      <c r="T1504" s="15">
        <f t="shared" si="432"/>
        <v>3140</v>
      </c>
    </row>
    <row r="1505" spans="2:20" x14ac:dyDescent="0.25">
      <c r="B1505" s="97">
        <f t="shared" si="428"/>
        <v>717</v>
      </c>
      <c r="C1505" s="9"/>
      <c r="D1505" s="9"/>
      <c r="E1505" s="9"/>
      <c r="F1505" s="54" t="s">
        <v>562</v>
      </c>
      <c r="G1505" s="126">
        <v>633</v>
      </c>
      <c r="H1505" s="9" t="s">
        <v>305</v>
      </c>
      <c r="I1505" s="10">
        <v>1390</v>
      </c>
      <c r="J1505" s="10">
        <v>1500</v>
      </c>
      <c r="K1505" s="10">
        <v>1500</v>
      </c>
      <c r="L1505" s="10">
        <v>1281</v>
      </c>
      <c r="M1505" s="10">
        <v>730</v>
      </c>
      <c r="N1505" s="10"/>
      <c r="O1505" s="10"/>
      <c r="P1505" s="10"/>
      <c r="Q1505" s="10"/>
      <c r="R1505" s="10"/>
      <c r="T1505" s="10">
        <f t="shared" si="432"/>
        <v>1390</v>
      </c>
    </row>
    <row r="1506" spans="2:20" x14ac:dyDescent="0.25">
      <c r="B1506" s="97">
        <f t="shared" si="428"/>
        <v>718</v>
      </c>
      <c r="C1506" s="9"/>
      <c r="D1506" s="9"/>
      <c r="E1506" s="9"/>
      <c r="F1506" s="54" t="s">
        <v>562</v>
      </c>
      <c r="G1506" s="126">
        <v>635</v>
      </c>
      <c r="H1506" s="9" t="s">
        <v>320</v>
      </c>
      <c r="I1506" s="10">
        <v>1100</v>
      </c>
      <c r="J1506" s="10">
        <v>100</v>
      </c>
      <c r="K1506" s="10">
        <v>100</v>
      </c>
      <c r="L1506" s="10">
        <v>67</v>
      </c>
      <c r="M1506" s="10">
        <v>0</v>
      </c>
      <c r="N1506" s="10"/>
      <c r="O1506" s="10"/>
      <c r="P1506" s="10"/>
      <c r="Q1506" s="10"/>
      <c r="R1506" s="10"/>
      <c r="T1506" s="10">
        <f t="shared" si="432"/>
        <v>1100</v>
      </c>
    </row>
    <row r="1507" spans="2:20" x14ac:dyDescent="0.25">
      <c r="B1507" s="97">
        <f t="shared" si="428"/>
        <v>719</v>
      </c>
      <c r="C1507" s="9"/>
      <c r="D1507" s="9"/>
      <c r="E1507" s="9"/>
      <c r="F1507" s="54" t="s">
        <v>562</v>
      </c>
      <c r="G1507" s="126">
        <v>637</v>
      </c>
      <c r="H1507" s="9" t="s">
        <v>308</v>
      </c>
      <c r="I1507" s="10">
        <v>650</v>
      </c>
      <c r="J1507" s="10">
        <v>880</v>
      </c>
      <c r="K1507" s="10">
        <v>880</v>
      </c>
      <c r="L1507" s="10">
        <v>624</v>
      </c>
      <c r="M1507" s="10">
        <v>798</v>
      </c>
      <c r="N1507" s="10"/>
      <c r="O1507" s="10"/>
      <c r="P1507" s="10"/>
      <c r="Q1507" s="10"/>
      <c r="R1507" s="10"/>
      <c r="T1507" s="10">
        <f t="shared" si="432"/>
        <v>650</v>
      </c>
    </row>
    <row r="1508" spans="2:20" x14ac:dyDescent="0.25">
      <c r="B1508" s="97">
        <f t="shared" si="428"/>
        <v>720</v>
      </c>
      <c r="C1508" s="29"/>
      <c r="D1508" s="29"/>
      <c r="E1508" s="29"/>
      <c r="F1508" s="53" t="s">
        <v>562</v>
      </c>
      <c r="G1508" s="125">
        <v>640</v>
      </c>
      <c r="H1508" s="29" t="s">
        <v>315</v>
      </c>
      <c r="I1508" s="15">
        <v>0</v>
      </c>
      <c r="J1508" s="15">
        <v>0</v>
      </c>
      <c r="K1508" s="15"/>
      <c r="L1508" s="15">
        <v>35</v>
      </c>
      <c r="M1508" s="15">
        <v>0</v>
      </c>
      <c r="N1508" s="15"/>
      <c r="O1508" s="15"/>
      <c r="P1508" s="15"/>
      <c r="Q1508" s="15"/>
      <c r="R1508" s="15"/>
      <c r="T1508" s="15">
        <f t="shared" si="432"/>
        <v>0</v>
      </c>
    </row>
    <row r="1509" spans="2:20" x14ac:dyDescent="0.25">
      <c r="B1509" s="97">
        <f t="shared" si="428"/>
        <v>721</v>
      </c>
      <c r="C1509" s="51"/>
      <c r="D1509" s="51"/>
      <c r="E1509" s="51" t="s">
        <v>108</v>
      </c>
      <c r="F1509" s="51"/>
      <c r="G1509" s="124"/>
      <c r="H1509" s="51" t="s">
        <v>109</v>
      </c>
      <c r="I1509" s="52">
        <f>I1510+I1511+I1512</f>
        <v>27763</v>
      </c>
      <c r="J1509" s="52">
        <f t="shared" ref="J1509:M1509" si="435">J1510+J1511+J1512</f>
        <v>23954</v>
      </c>
      <c r="K1509" s="52">
        <f t="shared" si="435"/>
        <v>23954</v>
      </c>
      <c r="L1509" s="52">
        <f t="shared" si="435"/>
        <v>21734</v>
      </c>
      <c r="M1509" s="52">
        <f t="shared" si="435"/>
        <v>26526</v>
      </c>
      <c r="N1509" s="52">
        <v>0</v>
      </c>
      <c r="O1509" s="52">
        <v>0</v>
      </c>
      <c r="P1509" s="52">
        <v>0</v>
      </c>
      <c r="Q1509" s="52">
        <v>0</v>
      </c>
      <c r="R1509" s="52">
        <v>0</v>
      </c>
      <c r="T1509" s="52">
        <f t="shared" si="432"/>
        <v>27763</v>
      </c>
    </row>
    <row r="1510" spans="2:20" x14ac:dyDescent="0.25">
      <c r="B1510" s="97">
        <f t="shared" si="428"/>
        <v>722</v>
      </c>
      <c r="C1510" s="29"/>
      <c r="D1510" s="29"/>
      <c r="E1510" s="29"/>
      <c r="F1510" s="53" t="s">
        <v>562</v>
      </c>
      <c r="G1510" s="125">
        <v>610</v>
      </c>
      <c r="H1510" s="29" t="s">
        <v>338</v>
      </c>
      <c r="I1510" s="15">
        <f>16410+360</f>
        <v>16770</v>
      </c>
      <c r="J1510" s="15">
        <v>15482</v>
      </c>
      <c r="K1510" s="15">
        <v>15482</v>
      </c>
      <c r="L1510" s="15">
        <v>14402</v>
      </c>
      <c r="M1510" s="15">
        <v>18292</v>
      </c>
      <c r="N1510" s="15"/>
      <c r="O1510" s="15"/>
      <c r="P1510" s="15"/>
      <c r="Q1510" s="15"/>
      <c r="R1510" s="15"/>
      <c r="T1510" s="15">
        <f t="shared" si="432"/>
        <v>16770</v>
      </c>
    </row>
    <row r="1511" spans="2:20" x14ac:dyDescent="0.25">
      <c r="B1511" s="97">
        <f t="shared" si="428"/>
        <v>723</v>
      </c>
      <c r="C1511" s="29"/>
      <c r="D1511" s="29"/>
      <c r="E1511" s="29"/>
      <c r="F1511" s="53" t="s">
        <v>562</v>
      </c>
      <c r="G1511" s="125">
        <v>620</v>
      </c>
      <c r="H1511" s="29" t="s">
        <v>313</v>
      </c>
      <c r="I1511" s="15">
        <f>6097+126</f>
        <v>6223</v>
      </c>
      <c r="J1511" s="15">
        <v>5752</v>
      </c>
      <c r="K1511" s="15">
        <v>5752</v>
      </c>
      <c r="L1511" s="15">
        <v>5194</v>
      </c>
      <c r="M1511" s="15">
        <v>6523</v>
      </c>
      <c r="N1511" s="15"/>
      <c r="O1511" s="15"/>
      <c r="P1511" s="15"/>
      <c r="Q1511" s="15"/>
      <c r="R1511" s="15"/>
      <c r="T1511" s="15">
        <f t="shared" si="432"/>
        <v>6223</v>
      </c>
    </row>
    <row r="1512" spans="2:20" x14ac:dyDescent="0.25">
      <c r="B1512" s="97">
        <f t="shared" si="428"/>
        <v>724</v>
      </c>
      <c r="C1512" s="29"/>
      <c r="D1512" s="29"/>
      <c r="E1512" s="29"/>
      <c r="F1512" s="53" t="s">
        <v>562</v>
      </c>
      <c r="G1512" s="125">
        <v>630</v>
      </c>
      <c r="H1512" s="29" t="s">
        <v>303</v>
      </c>
      <c r="I1512" s="15">
        <f>I1513+I1514+I1515</f>
        <v>4770</v>
      </c>
      <c r="J1512" s="15">
        <f t="shared" ref="J1512:M1512" si="436">J1515+J1514+J1513</f>
        <v>2720</v>
      </c>
      <c r="K1512" s="15">
        <f t="shared" si="436"/>
        <v>2720</v>
      </c>
      <c r="L1512" s="15">
        <f t="shared" si="436"/>
        <v>2138</v>
      </c>
      <c r="M1512" s="15">
        <f t="shared" si="436"/>
        <v>1711</v>
      </c>
      <c r="N1512" s="15"/>
      <c r="O1512" s="15"/>
      <c r="P1512" s="15"/>
      <c r="Q1512" s="15"/>
      <c r="R1512" s="15"/>
      <c r="T1512" s="15">
        <f t="shared" si="432"/>
        <v>4770</v>
      </c>
    </row>
    <row r="1513" spans="2:20" x14ac:dyDescent="0.25">
      <c r="B1513" s="97">
        <f t="shared" si="428"/>
        <v>725</v>
      </c>
      <c r="C1513" s="9"/>
      <c r="D1513" s="9"/>
      <c r="E1513" s="9"/>
      <c r="F1513" s="54" t="s">
        <v>562</v>
      </c>
      <c r="G1513" s="126">
        <v>633</v>
      </c>
      <c r="H1513" s="9" t="s">
        <v>305</v>
      </c>
      <c r="I1513" s="10">
        <v>1450</v>
      </c>
      <c r="J1513" s="10">
        <v>1760</v>
      </c>
      <c r="K1513" s="10">
        <v>1760</v>
      </c>
      <c r="L1513" s="10">
        <v>1424</v>
      </c>
      <c r="M1513" s="10">
        <v>797</v>
      </c>
      <c r="N1513" s="10"/>
      <c r="O1513" s="10"/>
      <c r="P1513" s="10"/>
      <c r="Q1513" s="10"/>
      <c r="R1513" s="10"/>
      <c r="T1513" s="10">
        <f t="shared" si="432"/>
        <v>1450</v>
      </c>
    </row>
    <row r="1514" spans="2:20" x14ac:dyDescent="0.25">
      <c r="B1514" s="97">
        <f t="shared" si="428"/>
        <v>726</v>
      </c>
      <c r="C1514" s="9"/>
      <c r="D1514" s="9"/>
      <c r="E1514" s="9"/>
      <c r="F1514" s="54" t="s">
        <v>562</v>
      </c>
      <c r="G1514" s="126">
        <v>635</v>
      </c>
      <c r="H1514" s="9" t="s">
        <v>320</v>
      </c>
      <c r="I1514" s="10">
        <v>2600</v>
      </c>
      <c r="J1514" s="10">
        <v>100</v>
      </c>
      <c r="K1514" s="10">
        <v>100</v>
      </c>
      <c r="L1514" s="10">
        <v>41</v>
      </c>
      <c r="M1514" s="10">
        <v>0</v>
      </c>
      <c r="N1514" s="10"/>
      <c r="O1514" s="10"/>
      <c r="P1514" s="10"/>
      <c r="Q1514" s="10"/>
      <c r="R1514" s="10"/>
      <c r="T1514" s="10">
        <f t="shared" si="432"/>
        <v>2600</v>
      </c>
    </row>
    <row r="1515" spans="2:20" x14ac:dyDescent="0.25">
      <c r="B1515" s="97">
        <f t="shared" si="428"/>
        <v>727</v>
      </c>
      <c r="C1515" s="9"/>
      <c r="D1515" s="9"/>
      <c r="E1515" s="9"/>
      <c r="F1515" s="54" t="s">
        <v>562</v>
      </c>
      <c r="G1515" s="126">
        <v>637</v>
      </c>
      <c r="H1515" s="9" t="s">
        <v>308</v>
      </c>
      <c r="I1515" s="10">
        <v>720</v>
      </c>
      <c r="J1515" s="10">
        <v>860</v>
      </c>
      <c r="K1515" s="10">
        <v>860</v>
      </c>
      <c r="L1515" s="10">
        <v>673</v>
      </c>
      <c r="M1515" s="10">
        <v>914</v>
      </c>
      <c r="N1515" s="10"/>
      <c r="O1515" s="10"/>
      <c r="P1515" s="10"/>
      <c r="Q1515" s="10"/>
      <c r="R1515" s="10"/>
      <c r="T1515" s="10">
        <f t="shared" si="432"/>
        <v>720</v>
      </c>
    </row>
    <row r="1516" spans="2:20" x14ac:dyDescent="0.25">
      <c r="B1516" s="97">
        <f t="shared" si="428"/>
        <v>728</v>
      </c>
      <c r="C1516" s="51"/>
      <c r="D1516" s="51"/>
      <c r="E1516" s="51" t="s">
        <v>110</v>
      </c>
      <c r="F1516" s="51"/>
      <c r="G1516" s="124"/>
      <c r="H1516" s="51" t="s">
        <v>111</v>
      </c>
      <c r="I1516" s="52">
        <f>I1517+I1518+I1519+I1523+I1524</f>
        <v>28070</v>
      </c>
      <c r="J1516" s="52">
        <f t="shared" ref="J1516:R1516" si="437">J1524+J1523+J1519+J1518+J1517</f>
        <v>25578</v>
      </c>
      <c r="K1516" s="52">
        <f t="shared" si="437"/>
        <v>25578</v>
      </c>
      <c r="L1516" s="52">
        <f t="shared" si="437"/>
        <v>27364</v>
      </c>
      <c r="M1516" s="52">
        <f t="shared" si="437"/>
        <v>21719</v>
      </c>
      <c r="N1516" s="52">
        <v>0</v>
      </c>
      <c r="O1516" s="52">
        <f t="shared" si="437"/>
        <v>0</v>
      </c>
      <c r="P1516" s="52">
        <f t="shared" si="437"/>
        <v>0</v>
      </c>
      <c r="Q1516" s="52">
        <f t="shared" si="437"/>
        <v>5476</v>
      </c>
      <c r="R1516" s="52">
        <f t="shared" si="437"/>
        <v>0</v>
      </c>
      <c r="T1516" s="52">
        <f t="shared" si="432"/>
        <v>28070</v>
      </c>
    </row>
    <row r="1517" spans="2:20" x14ac:dyDescent="0.25">
      <c r="B1517" s="97">
        <f t="shared" si="428"/>
        <v>729</v>
      </c>
      <c r="C1517" s="29"/>
      <c r="D1517" s="29"/>
      <c r="E1517" s="29"/>
      <c r="F1517" s="53" t="s">
        <v>562</v>
      </c>
      <c r="G1517" s="125">
        <v>610</v>
      </c>
      <c r="H1517" s="29" t="s">
        <v>338</v>
      </c>
      <c r="I1517" s="15">
        <f>17680+360</f>
        <v>18040</v>
      </c>
      <c r="J1517" s="15">
        <v>16198</v>
      </c>
      <c r="K1517" s="15">
        <v>16198</v>
      </c>
      <c r="L1517" s="15">
        <v>17929</v>
      </c>
      <c r="M1517" s="15">
        <v>13615</v>
      </c>
      <c r="N1517" s="15"/>
      <c r="O1517" s="15"/>
      <c r="P1517" s="15"/>
      <c r="Q1517" s="15"/>
      <c r="R1517" s="15"/>
      <c r="T1517" s="15">
        <f t="shared" si="432"/>
        <v>18040</v>
      </c>
    </row>
    <row r="1518" spans="2:20" x14ac:dyDescent="0.25">
      <c r="B1518" s="97">
        <f t="shared" si="428"/>
        <v>730</v>
      </c>
      <c r="C1518" s="29"/>
      <c r="D1518" s="29"/>
      <c r="E1518" s="29"/>
      <c r="F1518" s="53" t="s">
        <v>562</v>
      </c>
      <c r="G1518" s="125">
        <v>620</v>
      </c>
      <c r="H1518" s="29" t="s">
        <v>313</v>
      </c>
      <c r="I1518" s="15">
        <f>6515+125</f>
        <v>6640</v>
      </c>
      <c r="J1518" s="15">
        <v>6020</v>
      </c>
      <c r="K1518" s="15">
        <v>6020</v>
      </c>
      <c r="L1518" s="15">
        <v>6270</v>
      </c>
      <c r="M1518" s="15">
        <v>5203</v>
      </c>
      <c r="N1518" s="15"/>
      <c r="O1518" s="15"/>
      <c r="P1518" s="15"/>
      <c r="Q1518" s="15"/>
      <c r="R1518" s="15"/>
      <c r="T1518" s="15">
        <f t="shared" si="432"/>
        <v>6640</v>
      </c>
    </row>
    <row r="1519" spans="2:20" x14ac:dyDescent="0.25">
      <c r="B1519" s="97">
        <f t="shared" si="428"/>
        <v>731</v>
      </c>
      <c r="C1519" s="29"/>
      <c r="D1519" s="29"/>
      <c r="E1519" s="29"/>
      <c r="F1519" s="53" t="s">
        <v>562</v>
      </c>
      <c r="G1519" s="125">
        <v>630</v>
      </c>
      <c r="H1519" s="29" t="s">
        <v>303</v>
      </c>
      <c r="I1519" s="15">
        <f>I1520+I1521+I1522</f>
        <v>3390</v>
      </c>
      <c r="J1519" s="15">
        <f t="shared" ref="J1519:M1519" si="438">J1522+J1521+J1520</f>
        <v>3360</v>
      </c>
      <c r="K1519" s="15">
        <f t="shared" si="438"/>
        <v>3360</v>
      </c>
      <c r="L1519" s="15">
        <f t="shared" si="438"/>
        <v>2213</v>
      </c>
      <c r="M1519" s="15">
        <f t="shared" si="438"/>
        <v>1974</v>
      </c>
      <c r="N1519" s="15"/>
      <c r="O1519" s="15"/>
      <c r="P1519" s="15"/>
      <c r="Q1519" s="15"/>
      <c r="R1519" s="15"/>
      <c r="T1519" s="15">
        <f t="shared" si="432"/>
        <v>3390</v>
      </c>
    </row>
    <row r="1520" spans="2:20" x14ac:dyDescent="0.25">
      <c r="B1520" s="97">
        <f t="shared" si="428"/>
        <v>732</v>
      </c>
      <c r="C1520" s="9"/>
      <c r="D1520" s="9"/>
      <c r="E1520" s="9"/>
      <c r="F1520" s="54" t="s">
        <v>562</v>
      </c>
      <c r="G1520" s="126">
        <v>633</v>
      </c>
      <c r="H1520" s="9" t="s">
        <v>305</v>
      </c>
      <c r="I1520" s="10">
        <v>1350</v>
      </c>
      <c r="J1520" s="10">
        <v>2000</v>
      </c>
      <c r="K1520" s="10">
        <v>2000</v>
      </c>
      <c r="L1520" s="10">
        <v>1456</v>
      </c>
      <c r="M1520" s="10">
        <v>854</v>
      </c>
      <c r="N1520" s="10"/>
      <c r="O1520" s="10"/>
      <c r="P1520" s="10"/>
      <c r="Q1520" s="10"/>
      <c r="R1520" s="10"/>
      <c r="T1520" s="10">
        <f t="shared" si="432"/>
        <v>1350</v>
      </c>
    </row>
    <row r="1521" spans="2:20" x14ac:dyDescent="0.25">
      <c r="B1521" s="97">
        <f t="shared" si="428"/>
        <v>733</v>
      </c>
      <c r="C1521" s="9"/>
      <c r="D1521" s="9"/>
      <c r="E1521" s="9"/>
      <c r="F1521" s="54" t="s">
        <v>562</v>
      </c>
      <c r="G1521" s="126">
        <v>635</v>
      </c>
      <c r="H1521" s="9" t="s">
        <v>320</v>
      </c>
      <c r="I1521" s="10">
        <v>1300</v>
      </c>
      <c r="J1521" s="10">
        <v>200</v>
      </c>
      <c r="K1521" s="10">
        <v>200</v>
      </c>
      <c r="L1521" s="10">
        <v>41</v>
      </c>
      <c r="M1521" s="10">
        <v>0</v>
      </c>
      <c r="N1521" s="10"/>
      <c r="O1521" s="10"/>
      <c r="P1521" s="10"/>
      <c r="Q1521" s="10"/>
      <c r="R1521" s="10"/>
      <c r="T1521" s="10">
        <f t="shared" si="432"/>
        <v>1300</v>
      </c>
    </row>
    <row r="1522" spans="2:20" x14ac:dyDescent="0.25">
      <c r="B1522" s="97">
        <f t="shared" si="428"/>
        <v>734</v>
      </c>
      <c r="C1522" s="9"/>
      <c r="D1522" s="9"/>
      <c r="E1522" s="9"/>
      <c r="F1522" s="54" t="s">
        <v>562</v>
      </c>
      <c r="G1522" s="126">
        <v>637</v>
      </c>
      <c r="H1522" s="9" t="s">
        <v>308</v>
      </c>
      <c r="I1522" s="10">
        <v>740</v>
      </c>
      <c r="J1522" s="10">
        <v>1160</v>
      </c>
      <c r="K1522" s="10">
        <v>1160</v>
      </c>
      <c r="L1522" s="10">
        <v>716</v>
      </c>
      <c r="M1522" s="10">
        <v>1120</v>
      </c>
      <c r="N1522" s="10"/>
      <c r="O1522" s="10"/>
      <c r="P1522" s="10"/>
      <c r="Q1522" s="10"/>
      <c r="R1522" s="10"/>
      <c r="T1522" s="10">
        <f t="shared" si="432"/>
        <v>740</v>
      </c>
    </row>
    <row r="1523" spans="2:20" x14ac:dyDescent="0.25">
      <c r="B1523" s="97">
        <f t="shared" si="428"/>
        <v>735</v>
      </c>
      <c r="C1523" s="29"/>
      <c r="D1523" s="29"/>
      <c r="E1523" s="29"/>
      <c r="F1523" s="53" t="s">
        <v>562</v>
      </c>
      <c r="G1523" s="125">
        <v>640</v>
      </c>
      <c r="H1523" s="29" t="s">
        <v>315</v>
      </c>
      <c r="I1523" s="15">
        <v>0</v>
      </c>
      <c r="J1523" s="15">
        <v>0</v>
      </c>
      <c r="K1523" s="15">
        <v>0</v>
      </c>
      <c r="L1523" s="15">
        <v>952</v>
      </c>
      <c r="M1523" s="15">
        <v>927</v>
      </c>
      <c r="N1523" s="15"/>
      <c r="O1523" s="15"/>
      <c r="P1523" s="15"/>
      <c r="Q1523" s="15"/>
      <c r="R1523" s="15"/>
      <c r="T1523" s="15">
        <f t="shared" si="432"/>
        <v>0</v>
      </c>
    </row>
    <row r="1524" spans="2:20" x14ac:dyDescent="0.25">
      <c r="B1524" s="97">
        <f t="shared" si="428"/>
        <v>736</v>
      </c>
      <c r="C1524" s="29"/>
      <c r="D1524" s="29"/>
      <c r="E1524" s="29"/>
      <c r="F1524" s="53" t="s">
        <v>562</v>
      </c>
      <c r="G1524" s="125">
        <v>710</v>
      </c>
      <c r="H1524" s="29" t="s">
        <v>321</v>
      </c>
      <c r="I1524" s="15"/>
      <c r="J1524" s="15"/>
      <c r="K1524" s="15"/>
      <c r="L1524" s="15"/>
      <c r="M1524" s="15"/>
      <c r="N1524" s="15"/>
      <c r="O1524" s="15"/>
      <c r="P1524" s="15"/>
      <c r="Q1524" s="15">
        <f>Q1525</f>
        <v>5476</v>
      </c>
      <c r="R1524" s="15"/>
      <c r="T1524" s="15">
        <f t="shared" si="432"/>
        <v>0</v>
      </c>
    </row>
    <row r="1525" spans="2:20" x14ac:dyDescent="0.25">
      <c r="B1525" s="97">
        <f t="shared" si="428"/>
        <v>737</v>
      </c>
      <c r="C1525" s="9"/>
      <c r="D1525" s="9"/>
      <c r="E1525" s="9"/>
      <c r="F1525" s="54" t="s">
        <v>562</v>
      </c>
      <c r="G1525" s="126">
        <v>713</v>
      </c>
      <c r="H1525" s="9" t="s">
        <v>360</v>
      </c>
      <c r="I1525" s="10"/>
      <c r="J1525" s="10"/>
      <c r="K1525" s="10"/>
      <c r="L1525" s="10"/>
      <c r="M1525" s="10"/>
      <c r="N1525" s="10"/>
      <c r="O1525" s="10"/>
      <c r="P1525" s="10"/>
      <c r="Q1525" s="10">
        <v>5476</v>
      </c>
      <c r="R1525" s="10"/>
      <c r="T1525" s="10">
        <f t="shared" si="432"/>
        <v>0</v>
      </c>
    </row>
    <row r="1526" spans="2:20" x14ac:dyDescent="0.25">
      <c r="B1526" s="97">
        <f t="shared" si="428"/>
        <v>738</v>
      </c>
      <c r="C1526" s="51"/>
      <c r="D1526" s="51"/>
      <c r="E1526" s="51" t="s">
        <v>112</v>
      </c>
      <c r="F1526" s="51"/>
      <c r="G1526" s="124"/>
      <c r="H1526" s="51" t="s">
        <v>113</v>
      </c>
      <c r="I1526" s="52">
        <f>I1527+I1528+I1529+I1533+I1534</f>
        <v>42335</v>
      </c>
      <c r="J1526" s="52">
        <f t="shared" ref="J1526:R1526" si="439">J1534+J1533+J1529+J1528+J1527</f>
        <v>39490</v>
      </c>
      <c r="K1526" s="52">
        <f t="shared" si="439"/>
        <v>39490</v>
      </c>
      <c r="L1526" s="52">
        <f t="shared" si="439"/>
        <v>37249</v>
      </c>
      <c r="M1526" s="52">
        <f t="shared" si="439"/>
        <v>33415</v>
      </c>
      <c r="N1526" s="52">
        <v>0</v>
      </c>
      <c r="O1526" s="52">
        <f t="shared" si="439"/>
        <v>0</v>
      </c>
      <c r="P1526" s="52">
        <f t="shared" si="439"/>
        <v>0</v>
      </c>
      <c r="Q1526" s="52">
        <f t="shared" si="439"/>
        <v>13290</v>
      </c>
      <c r="R1526" s="52">
        <f t="shared" si="439"/>
        <v>0</v>
      </c>
      <c r="T1526" s="52">
        <f t="shared" si="432"/>
        <v>42335</v>
      </c>
    </row>
    <row r="1527" spans="2:20" x14ac:dyDescent="0.25">
      <c r="B1527" s="97">
        <f t="shared" si="428"/>
        <v>739</v>
      </c>
      <c r="C1527" s="29"/>
      <c r="D1527" s="29"/>
      <c r="E1527" s="29"/>
      <c r="F1527" s="53" t="s">
        <v>562</v>
      </c>
      <c r="G1527" s="125">
        <v>610</v>
      </c>
      <c r="H1527" s="29" t="s">
        <v>338</v>
      </c>
      <c r="I1527" s="15">
        <f>26190+900</f>
        <v>27090</v>
      </c>
      <c r="J1527" s="15">
        <v>24710</v>
      </c>
      <c r="K1527" s="15">
        <v>24710</v>
      </c>
      <c r="L1527" s="15">
        <v>23729</v>
      </c>
      <c r="M1527" s="15">
        <v>22399</v>
      </c>
      <c r="N1527" s="15"/>
      <c r="O1527" s="15"/>
      <c r="P1527" s="15"/>
      <c r="Q1527" s="15"/>
      <c r="R1527" s="15"/>
      <c r="T1527" s="15">
        <f t="shared" si="432"/>
        <v>27090</v>
      </c>
    </row>
    <row r="1528" spans="2:20" x14ac:dyDescent="0.25">
      <c r="B1528" s="97">
        <f t="shared" ref="B1528:B1591" si="440">B1527+1</f>
        <v>740</v>
      </c>
      <c r="C1528" s="29"/>
      <c r="D1528" s="29"/>
      <c r="E1528" s="29"/>
      <c r="F1528" s="53" t="s">
        <v>562</v>
      </c>
      <c r="G1528" s="125">
        <v>620</v>
      </c>
      <c r="H1528" s="29" t="s">
        <v>313</v>
      </c>
      <c r="I1528" s="15">
        <f>9730+315</f>
        <v>10045</v>
      </c>
      <c r="J1528" s="15">
        <v>9180</v>
      </c>
      <c r="K1528" s="15">
        <v>9180</v>
      </c>
      <c r="L1528" s="15">
        <v>8736</v>
      </c>
      <c r="M1528" s="15">
        <v>8207</v>
      </c>
      <c r="N1528" s="15"/>
      <c r="O1528" s="15"/>
      <c r="P1528" s="15"/>
      <c r="Q1528" s="15"/>
      <c r="R1528" s="15"/>
      <c r="T1528" s="15">
        <f t="shared" si="432"/>
        <v>10045</v>
      </c>
    </row>
    <row r="1529" spans="2:20" x14ac:dyDescent="0.25">
      <c r="B1529" s="97">
        <f t="shared" si="440"/>
        <v>741</v>
      </c>
      <c r="C1529" s="29"/>
      <c r="D1529" s="29"/>
      <c r="E1529" s="29"/>
      <c r="F1529" s="53" t="s">
        <v>562</v>
      </c>
      <c r="G1529" s="125">
        <v>630</v>
      </c>
      <c r="H1529" s="29" t="s">
        <v>303</v>
      </c>
      <c r="I1529" s="15">
        <f>I1530+I1531+I1532</f>
        <v>5200</v>
      </c>
      <c r="J1529" s="15">
        <f t="shared" ref="J1529:M1529" si="441">J1532+J1531+J1530</f>
        <v>5600</v>
      </c>
      <c r="K1529" s="15">
        <f t="shared" si="441"/>
        <v>5600</v>
      </c>
      <c r="L1529" s="15">
        <f t="shared" si="441"/>
        <v>4496</v>
      </c>
      <c r="M1529" s="15">
        <f t="shared" si="441"/>
        <v>2700</v>
      </c>
      <c r="N1529" s="15"/>
      <c r="O1529" s="15"/>
      <c r="P1529" s="15"/>
      <c r="Q1529" s="15"/>
      <c r="R1529" s="15"/>
      <c r="T1529" s="15">
        <f t="shared" si="432"/>
        <v>5200</v>
      </c>
    </row>
    <row r="1530" spans="2:20" x14ac:dyDescent="0.25">
      <c r="B1530" s="97">
        <f t="shared" si="440"/>
        <v>742</v>
      </c>
      <c r="C1530" s="9"/>
      <c r="D1530" s="9"/>
      <c r="E1530" s="9"/>
      <c r="F1530" s="54" t="s">
        <v>562</v>
      </c>
      <c r="G1530" s="126">
        <v>633</v>
      </c>
      <c r="H1530" s="9" t="s">
        <v>305</v>
      </c>
      <c r="I1530" s="10">
        <v>2800</v>
      </c>
      <c r="J1530" s="10">
        <v>4000</v>
      </c>
      <c r="K1530" s="10">
        <v>4000</v>
      </c>
      <c r="L1530" s="10">
        <v>3092</v>
      </c>
      <c r="M1530" s="10">
        <v>1171</v>
      </c>
      <c r="N1530" s="10"/>
      <c r="O1530" s="10"/>
      <c r="P1530" s="10"/>
      <c r="Q1530" s="10"/>
      <c r="R1530" s="10"/>
      <c r="T1530" s="10">
        <f t="shared" si="432"/>
        <v>2800</v>
      </c>
    </row>
    <row r="1531" spans="2:20" x14ac:dyDescent="0.25">
      <c r="B1531" s="97">
        <f t="shared" si="440"/>
        <v>743</v>
      </c>
      <c r="C1531" s="9"/>
      <c r="D1531" s="9"/>
      <c r="E1531" s="9"/>
      <c r="F1531" s="54" t="s">
        <v>562</v>
      </c>
      <c r="G1531" s="126">
        <v>635</v>
      </c>
      <c r="H1531" s="9" t="s">
        <v>320</v>
      </c>
      <c r="I1531" s="10">
        <v>1350</v>
      </c>
      <c r="J1531" s="10">
        <v>150</v>
      </c>
      <c r="K1531" s="10">
        <v>150</v>
      </c>
      <c r="L1531" s="10">
        <v>149</v>
      </c>
      <c r="M1531" s="10">
        <v>0</v>
      </c>
      <c r="N1531" s="10"/>
      <c r="O1531" s="10"/>
      <c r="P1531" s="10"/>
      <c r="Q1531" s="10"/>
      <c r="R1531" s="10"/>
      <c r="T1531" s="10">
        <f t="shared" si="432"/>
        <v>1350</v>
      </c>
    </row>
    <row r="1532" spans="2:20" x14ac:dyDescent="0.25">
      <c r="B1532" s="97">
        <f t="shared" si="440"/>
        <v>744</v>
      </c>
      <c r="C1532" s="9"/>
      <c r="D1532" s="9"/>
      <c r="E1532" s="9"/>
      <c r="F1532" s="54" t="s">
        <v>562</v>
      </c>
      <c r="G1532" s="126">
        <v>637</v>
      </c>
      <c r="H1532" s="9" t="s">
        <v>308</v>
      </c>
      <c r="I1532" s="10">
        <v>1050</v>
      </c>
      <c r="J1532" s="10">
        <v>1450</v>
      </c>
      <c r="K1532" s="10">
        <v>1450</v>
      </c>
      <c r="L1532" s="10">
        <v>1255</v>
      </c>
      <c r="M1532" s="10">
        <v>1529</v>
      </c>
      <c r="N1532" s="10"/>
      <c r="O1532" s="10"/>
      <c r="P1532" s="10"/>
      <c r="Q1532" s="10"/>
      <c r="R1532" s="10"/>
      <c r="T1532" s="10">
        <f t="shared" si="432"/>
        <v>1050</v>
      </c>
    </row>
    <row r="1533" spans="2:20" x14ac:dyDescent="0.25">
      <c r="B1533" s="97">
        <f t="shared" si="440"/>
        <v>745</v>
      </c>
      <c r="C1533" s="29"/>
      <c r="D1533" s="29"/>
      <c r="E1533" s="29"/>
      <c r="F1533" s="53" t="s">
        <v>562</v>
      </c>
      <c r="G1533" s="125">
        <v>640</v>
      </c>
      <c r="H1533" s="29" t="s">
        <v>315</v>
      </c>
      <c r="I1533" s="15">
        <v>0</v>
      </c>
      <c r="J1533" s="15">
        <v>0</v>
      </c>
      <c r="K1533" s="15">
        <v>0</v>
      </c>
      <c r="L1533" s="15">
        <v>288</v>
      </c>
      <c r="M1533" s="15">
        <v>109</v>
      </c>
      <c r="N1533" s="15"/>
      <c r="O1533" s="15"/>
      <c r="P1533" s="15"/>
      <c r="Q1533" s="15"/>
      <c r="R1533" s="15"/>
      <c r="T1533" s="15">
        <f t="shared" si="432"/>
        <v>0</v>
      </c>
    </row>
    <row r="1534" spans="2:20" x14ac:dyDescent="0.25">
      <c r="B1534" s="97">
        <f t="shared" si="440"/>
        <v>746</v>
      </c>
      <c r="C1534" s="29"/>
      <c r="D1534" s="29"/>
      <c r="E1534" s="29"/>
      <c r="F1534" s="53" t="s">
        <v>562</v>
      </c>
      <c r="G1534" s="125">
        <v>710</v>
      </c>
      <c r="H1534" s="29" t="s">
        <v>321</v>
      </c>
      <c r="I1534" s="15"/>
      <c r="J1534" s="15"/>
      <c r="K1534" s="15"/>
      <c r="L1534" s="15"/>
      <c r="M1534" s="15"/>
      <c r="N1534" s="15"/>
      <c r="O1534" s="15"/>
      <c r="P1534" s="15"/>
      <c r="Q1534" s="15">
        <f t="shared" ref="Q1534" si="442">Q1535</f>
        <v>13290</v>
      </c>
      <c r="R1534" s="15"/>
      <c r="T1534" s="15">
        <f t="shared" si="432"/>
        <v>0</v>
      </c>
    </row>
    <row r="1535" spans="2:20" x14ac:dyDescent="0.25">
      <c r="B1535" s="97">
        <f t="shared" si="440"/>
        <v>747</v>
      </c>
      <c r="C1535" s="9"/>
      <c r="D1535" s="9"/>
      <c r="E1535" s="9"/>
      <c r="F1535" s="54" t="s">
        <v>562</v>
      </c>
      <c r="G1535" s="126">
        <v>713</v>
      </c>
      <c r="H1535" s="9" t="s">
        <v>360</v>
      </c>
      <c r="I1535" s="10"/>
      <c r="J1535" s="10"/>
      <c r="K1535" s="10"/>
      <c r="L1535" s="10"/>
      <c r="M1535" s="10"/>
      <c r="N1535" s="10"/>
      <c r="O1535" s="10"/>
      <c r="P1535" s="10"/>
      <c r="Q1535" s="10">
        <v>13290</v>
      </c>
      <c r="R1535" s="10"/>
      <c r="T1535" s="10">
        <f t="shared" si="432"/>
        <v>0</v>
      </c>
    </row>
    <row r="1536" spans="2:20" x14ac:dyDescent="0.25">
      <c r="B1536" s="97">
        <f t="shared" si="440"/>
        <v>748</v>
      </c>
      <c r="C1536" s="51"/>
      <c r="D1536" s="51"/>
      <c r="E1536" s="51" t="s">
        <v>114</v>
      </c>
      <c r="F1536" s="51"/>
      <c r="G1536" s="124"/>
      <c r="H1536" s="51" t="s">
        <v>115</v>
      </c>
      <c r="I1536" s="52">
        <f>I1537+I1538+I1539+I1544+I1545</f>
        <v>45691</v>
      </c>
      <c r="J1536" s="52">
        <f t="shared" ref="J1536:R1536" si="443">J1545+J1544+J1539+J1538+J1537</f>
        <v>42440</v>
      </c>
      <c r="K1536" s="52">
        <f t="shared" si="443"/>
        <v>42440</v>
      </c>
      <c r="L1536" s="52">
        <f t="shared" si="443"/>
        <v>36506</v>
      </c>
      <c r="M1536" s="52">
        <f t="shared" si="443"/>
        <v>31783</v>
      </c>
      <c r="N1536" s="52">
        <v>0</v>
      </c>
      <c r="O1536" s="52">
        <f t="shared" si="443"/>
        <v>0</v>
      </c>
      <c r="P1536" s="52">
        <f t="shared" si="443"/>
        <v>0</v>
      </c>
      <c r="Q1536" s="52">
        <f t="shared" si="443"/>
        <v>5772</v>
      </c>
      <c r="R1536" s="52">
        <f t="shared" si="443"/>
        <v>0</v>
      </c>
      <c r="T1536" s="52">
        <f t="shared" si="432"/>
        <v>45691</v>
      </c>
    </row>
    <row r="1537" spans="2:20" x14ac:dyDescent="0.25">
      <c r="B1537" s="97">
        <f t="shared" si="440"/>
        <v>749</v>
      </c>
      <c r="C1537" s="29"/>
      <c r="D1537" s="29"/>
      <c r="E1537" s="29"/>
      <c r="F1537" s="53" t="s">
        <v>562</v>
      </c>
      <c r="G1537" s="125">
        <v>610</v>
      </c>
      <c r="H1537" s="29" t="s">
        <v>338</v>
      </c>
      <c r="I1537" s="15">
        <f>28620+1260</f>
        <v>29880</v>
      </c>
      <c r="J1537" s="15">
        <v>27000</v>
      </c>
      <c r="K1537" s="15">
        <v>27000</v>
      </c>
      <c r="L1537" s="15">
        <v>24896</v>
      </c>
      <c r="M1537" s="15">
        <v>22274</v>
      </c>
      <c r="N1537" s="15"/>
      <c r="O1537" s="15"/>
      <c r="P1537" s="15"/>
      <c r="Q1537" s="15"/>
      <c r="R1537" s="15"/>
      <c r="T1537" s="15">
        <f t="shared" si="432"/>
        <v>29880</v>
      </c>
    </row>
    <row r="1538" spans="2:20" x14ac:dyDescent="0.25">
      <c r="B1538" s="97">
        <f t="shared" si="440"/>
        <v>750</v>
      </c>
      <c r="C1538" s="29"/>
      <c r="D1538" s="29"/>
      <c r="E1538" s="29"/>
      <c r="F1538" s="53" t="s">
        <v>562</v>
      </c>
      <c r="G1538" s="125">
        <v>620</v>
      </c>
      <c r="H1538" s="29" t="s">
        <v>313</v>
      </c>
      <c r="I1538" s="15">
        <f>10630+441</f>
        <v>11071</v>
      </c>
      <c r="J1538" s="15">
        <v>10030</v>
      </c>
      <c r="K1538" s="15">
        <v>10030</v>
      </c>
      <c r="L1538" s="15">
        <v>8536</v>
      </c>
      <c r="M1538" s="15">
        <v>7676</v>
      </c>
      <c r="N1538" s="15"/>
      <c r="O1538" s="15"/>
      <c r="P1538" s="15"/>
      <c r="Q1538" s="15"/>
      <c r="R1538" s="15"/>
      <c r="T1538" s="15">
        <f t="shared" si="432"/>
        <v>11071</v>
      </c>
    </row>
    <row r="1539" spans="2:20" x14ac:dyDescent="0.25">
      <c r="B1539" s="97">
        <f t="shared" si="440"/>
        <v>751</v>
      </c>
      <c r="C1539" s="29"/>
      <c r="D1539" s="29"/>
      <c r="E1539" s="29"/>
      <c r="F1539" s="53" t="s">
        <v>562</v>
      </c>
      <c r="G1539" s="125">
        <v>630</v>
      </c>
      <c r="H1539" s="29" t="s">
        <v>303</v>
      </c>
      <c r="I1539" s="15">
        <f>I1540+I1541+I1542+I1543</f>
        <v>4740</v>
      </c>
      <c r="J1539" s="15">
        <f t="shared" ref="J1539:L1539" si="444">J1543+J1542+J1541+J1540</f>
        <v>5410</v>
      </c>
      <c r="K1539" s="15">
        <f t="shared" si="444"/>
        <v>5410</v>
      </c>
      <c r="L1539" s="15">
        <f t="shared" si="444"/>
        <v>3009</v>
      </c>
      <c r="M1539" s="15">
        <f>M1543+M1542+M1541+M1540</f>
        <v>1798</v>
      </c>
      <c r="N1539" s="15"/>
      <c r="O1539" s="15"/>
      <c r="P1539" s="15"/>
      <c r="Q1539" s="15"/>
      <c r="R1539" s="15"/>
      <c r="T1539" s="15">
        <f t="shared" si="432"/>
        <v>4740</v>
      </c>
    </row>
    <row r="1540" spans="2:20" x14ac:dyDescent="0.25">
      <c r="B1540" s="97">
        <f t="shared" si="440"/>
        <v>752</v>
      </c>
      <c r="C1540" s="29"/>
      <c r="D1540" s="29"/>
      <c r="E1540" s="29"/>
      <c r="F1540" s="54" t="s">
        <v>562</v>
      </c>
      <c r="G1540" s="126">
        <v>631</v>
      </c>
      <c r="H1540" s="9" t="s">
        <v>304</v>
      </c>
      <c r="I1540" s="16">
        <v>0</v>
      </c>
      <c r="J1540" s="15"/>
      <c r="K1540" s="15"/>
      <c r="L1540" s="15"/>
      <c r="M1540" s="16">
        <v>24</v>
      </c>
      <c r="N1540" s="15"/>
      <c r="O1540" s="15"/>
      <c r="P1540" s="15"/>
      <c r="Q1540" s="15"/>
      <c r="R1540" s="15"/>
      <c r="T1540" s="15">
        <f t="shared" si="432"/>
        <v>0</v>
      </c>
    </row>
    <row r="1541" spans="2:20" x14ac:dyDescent="0.25">
      <c r="B1541" s="97">
        <f t="shared" si="440"/>
        <v>753</v>
      </c>
      <c r="C1541" s="9"/>
      <c r="D1541" s="9"/>
      <c r="E1541" s="9"/>
      <c r="F1541" s="54" t="s">
        <v>562</v>
      </c>
      <c r="G1541" s="126">
        <v>633</v>
      </c>
      <c r="H1541" s="9" t="s">
        <v>305</v>
      </c>
      <c r="I1541" s="10">
        <v>2470</v>
      </c>
      <c r="J1541" s="10">
        <v>4050</v>
      </c>
      <c r="K1541" s="10">
        <v>4050</v>
      </c>
      <c r="L1541" s="10">
        <v>1854</v>
      </c>
      <c r="M1541" s="10">
        <v>595</v>
      </c>
      <c r="N1541" s="10"/>
      <c r="O1541" s="10"/>
      <c r="P1541" s="10"/>
      <c r="Q1541" s="10"/>
      <c r="R1541" s="10"/>
      <c r="T1541" s="10">
        <f t="shared" si="432"/>
        <v>2470</v>
      </c>
    </row>
    <row r="1542" spans="2:20" x14ac:dyDescent="0.25">
      <c r="B1542" s="97">
        <f t="shared" si="440"/>
        <v>754</v>
      </c>
      <c r="C1542" s="9"/>
      <c r="D1542" s="9"/>
      <c r="E1542" s="9"/>
      <c r="F1542" s="54" t="s">
        <v>562</v>
      </c>
      <c r="G1542" s="126">
        <v>635</v>
      </c>
      <c r="H1542" s="9" t="s">
        <v>320</v>
      </c>
      <c r="I1542" s="10">
        <v>1300</v>
      </c>
      <c r="J1542" s="10">
        <v>200</v>
      </c>
      <c r="K1542" s="10">
        <v>200</v>
      </c>
      <c r="L1542" s="10">
        <v>87</v>
      </c>
      <c r="M1542" s="10">
        <v>0</v>
      </c>
      <c r="N1542" s="10"/>
      <c r="O1542" s="10"/>
      <c r="P1542" s="10"/>
      <c r="Q1542" s="10"/>
      <c r="R1542" s="10"/>
      <c r="T1542" s="10">
        <f t="shared" si="432"/>
        <v>1300</v>
      </c>
    </row>
    <row r="1543" spans="2:20" x14ac:dyDescent="0.25">
      <c r="B1543" s="97">
        <f t="shared" si="440"/>
        <v>755</v>
      </c>
      <c r="C1543" s="9"/>
      <c r="D1543" s="9"/>
      <c r="E1543" s="9"/>
      <c r="F1543" s="54" t="s">
        <v>562</v>
      </c>
      <c r="G1543" s="126">
        <v>637</v>
      </c>
      <c r="H1543" s="9" t="s">
        <v>308</v>
      </c>
      <c r="I1543" s="10">
        <v>970</v>
      </c>
      <c r="J1543" s="10">
        <v>1160</v>
      </c>
      <c r="K1543" s="10">
        <v>1160</v>
      </c>
      <c r="L1543" s="10">
        <v>1068</v>
      </c>
      <c r="M1543" s="10">
        <v>1179</v>
      </c>
      <c r="N1543" s="10"/>
      <c r="O1543" s="10"/>
      <c r="P1543" s="10"/>
      <c r="Q1543" s="10"/>
      <c r="R1543" s="10"/>
      <c r="T1543" s="10">
        <f t="shared" si="432"/>
        <v>970</v>
      </c>
    </row>
    <row r="1544" spans="2:20" x14ac:dyDescent="0.25">
      <c r="B1544" s="97">
        <f t="shared" si="440"/>
        <v>756</v>
      </c>
      <c r="C1544" s="29"/>
      <c r="D1544" s="29"/>
      <c r="E1544" s="29"/>
      <c r="F1544" s="53" t="s">
        <v>562</v>
      </c>
      <c r="G1544" s="125">
        <v>640</v>
      </c>
      <c r="H1544" s="29" t="s">
        <v>315</v>
      </c>
      <c r="I1544" s="15">
        <v>0</v>
      </c>
      <c r="J1544" s="15">
        <v>0</v>
      </c>
      <c r="K1544" s="15">
        <v>0</v>
      </c>
      <c r="L1544" s="15">
        <v>65</v>
      </c>
      <c r="M1544" s="15">
        <v>35</v>
      </c>
      <c r="N1544" s="15"/>
      <c r="O1544" s="15"/>
      <c r="P1544" s="15"/>
      <c r="Q1544" s="15"/>
      <c r="R1544" s="15"/>
      <c r="T1544" s="15">
        <f t="shared" si="432"/>
        <v>0</v>
      </c>
    </row>
    <row r="1545" spans="2:20" x14ac:dyDescent="0.25">
      <c r="B1545" s="97">
        <f t="shared" si="440"/>
        <v>757</v>
      </c>
      <c r="C1545" s="29"/>
      <c r="D1545" s="29"/>
      <c r="E1545" s="29"/>
      <c r="F1545" s="53" t="s">
        <v>562</v>
      </c>
      <c r="G1545" s="125">
        <v>710</v>
      </c>
      <c r="H1545" s="29" t="s">
        <v>321</v>
      </c>
      <c r="I1545" s="15"/>
      <c r="J1545" s="15"/>
      <c r="K1545" s="15"/>
      <c r="L1545" s="15"/>
      <c r="M1545" s="15"/>
      <c r="N1545" s="15"/>
      <c r="O1545" s="15"/>
      <c r="P1545" s="15"/>
      <c r="Q1545" s="15">
        <f t="shared" ref="Q1545" si="445">Q1546</f>
        <v>5772</v>
      </c>
      <c r="R1545" s="15"/>
      <c r="T1545" s="15">
        <f t="shared" si="432"/>
        <v>0</v>
      </c>
    </row>
    <row r="1546" spans="2:20" x14ac:dyDescent="0.25">
      <c r="B1546" s="97">
        <f t="shared" si="440"/>
        <v>758</v>
      </c>
      <c r="C1546" s="9"/>
      <c r="D1546" s="9"/>
      <c r="E1546" s="9"/>
      <c r="F1546" s="54" t="s">
        <v>562</v>
      </c>
      <c r="G1546" s="126">
        <v>713</v>
      </c>
      <c r="H1546" s="9" t="s">
        <v>360</v>
      </c>
      <c r="I1546" s="10"/>
      <c r="J1546" s="10"/>
      <c r="K1546" s="10"/>
      <c r="L1546" s="10"/>
      <c r="M1546" s="10"/>
      <c r="N1546" s="10"/>
      <c r="O1546" s="10"/>
      <c r="P1546" s="10"/>
      <c r="Q1546" s="10">
        <v>5772</v>
      </c>
      <c r="R1546" s="10"/>
      <c r="T1546" s="10">
        <f t="shared" si="432"/>
        <v>0</v>
      </c>
    </row>
    <row r="1547" spans="2:20" x14ac:dyDescent="0.25">
      <c r="B1547" s="97">
        <f t="shared" si="440"/>
        <v>759</v>
      </c>
      <c r="C1547" s="51"/>
      <c r="D1547" s="51"/>
      <c r="E1547" s="51" t="s">
        <v>116</v>
      </c>
      <c r="F1547" s="51"/>
      <c r="G1547" s="124"/>
      <c r="H1547" s="51" t="s">
        <v>117</v>
      </c>
      <c r="I1547" s="52">
        <f>I1548+I1549+I1550+I1554+I1555</f>
        <v>27741</v>
      </c>
      <c r="J1547" s="52">
        <f t="shared" ref="J1547:R1547" si="446">J1555+J1554+J1550+J1549+J1548</f>
        <v>25805</v>
      </c>
      <c r="K1547" s="52">
        <f t="shared" si="446"/>
        <v>25805</v>
      </c>
      <c r="L1547" s="52">
        <f t="shared" si="446"/>
        <v>19958</v>
      </c>
      <c r="M1547" s="52">
        <f t="shared" si="446"/>
        <v>16413</v>
      </c>
      <c r="N1547" s="52">
        <v>0</v>
      </c>
      <c r="O1547" s="52">
        <f t="shared" si="446"/>
        <v>0</v>
      </c>
      <c r="P1547" s="52">
        <f t="shared" si="446"/>
        <v>0</v>
      </c>
      <c r="Q1547" s="52">
        <f t="shared" si="446"/>
        <v>5693</v>
      </c>
      <c r="R1547" s="52">
        <f t="shared" si="446"/>
        <v>0</v>
      </c>
      <c r="T1547" s="52">
        <f t="shared" si="432"/>
        <v>27741</v>
      </c>
    </row>
    <row r="1548" spans="2:20" x14ac:dyDescent="0.25">
      <c r="B1548" s="97">
        <f t="shared" si="440"/>
        <v>760</v>
      </c>
      <c r="C1548" s="29"/>
      <c r="D1548" s="29"/>
      <c r="E1548" s="29"/>
      <c r="F1548" s="53" t="s">
        <v>562</v>
      </c>
      <c r="G1548" s="125">
        <v>610</v>
      </c>
      <c r="H1548" s="29" t="s">
        <v>338</v>
      </c>
      <c r="I1548" s="15">
        <f>17145+360</f>
        <v>17505</v>
      </c>
      <c r="J1548" s="15">
        <v>16175</v>
      </c>
      <c r="K1548" s="15">
        <v>16175</v>
      </c>
      <c r="L1548" s="15">
        <v>12437</v>
      </c>
      <c r="M1548" s="15">
        <v>10869</v>
      </c>
      <c r="N1548" s="15"/>
      <c r="O1548" s="15"/>
      <c r="P1548" s="15"/>
      <c r="Q1548" s="15"/>
      <c r="R1548" s="15"/>
      <c r="T1548" s="15">
        <f t="shared" si="432"/>
        <v>17505</v>
      </c>
    </row>
    <row r="1549" spans="2:20" x14ac:dyDescent="0.25">
      <c r="B1549" s="97">
        <f t="shared" si="440"/>
        <v>761</v>
      </c>
      <c r="C1549" s="29"/>
      <c r="D1549" s="29"/>
      <c r="E1549" s="29"/>
      <c r="F1549" s="53" t="s">
        <v>562</v>
      </c>
      <c r="G1549" s="125">
        <v>620</v>
      </c>
      <c r="H1549" s="29" t="s">
        <v>313</v>
      </c>
      <c r="I1549" s="15">
        <f>6370+126</f>
        <v>6496</v>
      </c>
      <c r="J1549" s="15">
        <v>6010</v>
      </c>
      <c r="K1549" s="15">
        <v>6010</v>
      </c>
      <c r="L1549" s="15">
        <v>4753</v>
      </c>
      <c r="M1549" s="15">
        <v>3906</v>
      </c>
      <c r="N1549" s="15"/>
      <c r="O1549" s="15"/>
      <c r="P1549" s="15"/>
      <c r="Q1549" s="15"/>
      <c r="R1549" s="15"/>
      <c r="T1549" s="15">
        <f t="shared" si="432"/>
        <v>6496</v>
      </c>
    </row>
    <row r="1550" spans="2:20" x14ac:dyDescent="0.25">
      <c r="B1550" s="97">
        <f t="shared" si="440"/>
        <v>762</v>
      </c>
      <c r="C1550" s="29"/>
      <c r="D1550" s="29"/>
      <c r="E1550" s="29"/>
      <c r="F1550" s="53" t="s">
        <v>562</v>
      </c>
      <c r="G1550" s="125">
        <v>630</v>
      </c>
      <c r="H1550" s="29" t="s">
        <v>303</v>
      </c>
      <c r="I1550" s="15">
        <f>I1551+I1552+I1553</f>
        <v>3740</v>
      </c>
      <c r="J1550" s="15">
        <f t="shared" ref="J1550:M1550" si="447">J1553+J1552+J1551</f>
        <v>3620</v>
      </c>
      <c r="K1550" s="15">
        <f t="shared" si="447"/>
        <v>3620</v>
      </c>
      <c r="L1550" s="15">
        <f t="shared" si="447"/>
        <v>2734</v>
      </c>
      <c r="M1550" s="15">
        <f t="shared" si="447"/>
        <v>1638</v>
      </c>
      <c r="N1550" s="15"/>
      <c r="O1550" s="15"/>
      <c r="P1550" s="15"/>
      <c r="Q1550" s="15"/>
      <c r="R1550" s="15"/>
      <c r="T1550" s="15">
        <f t="shared" si="432"/>
        <v>3740</v>
      </c>
    </row>
    <row r="1551" spans="2:20" x14ac:dyDescent="0.25">
      <c r="B1551" s="97">
        <f t="shared" si="440"/>
        <v>763</v>
      </c>
      <c r="C1551" s="9"/>
      <c r="D1551" s="9"/>
      <c r="E1551" s="9"/>
      <c r="F1551" s="54" t="s">
        <v>562</v>
      </c>
      <c r="G1551" s="126">
        <v>633</v>
      </c>
      <c r="H1551" s="9" t="s">
        <v>305</v>
      </c>
      <c r="I1551" s="10">
        <v>1750</v>
      </c>
      <c r="J1551" s="10">
        <v>2590</v>
      </c>
      <c r="K1551" s="10">
        <v>2590</v>
      </c>
      <c r="L1551" s="10">
        <v>1973</v>
      </c>
      <c r="M1551" s="10">
        <v>832</v>
      </c>
      <c r="N1551" s="10"/>
      <c r="O1551" s="10"/>
      <c r="P1551" s="10"/>
      <c r="Q1551" s="10"/>
      <c r="R1551" s="10"/>
      <c r="T1551" s="10">
        <f t="shared" si="432"/>
        <v>1750</v>
      </c>
    </row>
    <row r="1552" spans="2:20" x14ac:dyDescent="0.25">
      <c r="B1552" s="97">
        <f t="shared" si="440"/>
        <v>764</v>
      </c>
      <c r="C1552" s="9"/>
      <c r="D1552" s="9"/>
      <c r="E1552" s="9"/>
      <c r="F1552" s="54" t="s">
        <v>562</v>
      </c>
      <c r="G1552" s="126">
        <v>635</v>
      </c>
      <c r="H1552" s="9" t="s">
        <v>320</v>
      </c>
      <c r="I1552" s="10">
        <v>1300</v>
      </c>
      <c r="J1552" s="10">
        <v>200</v>
      </c>
      <c r="K1552" s="10">
        <v>200</v>
      </c>
      <c r="L1552" s="10">
        <v>45</v>
      </c>
      <c r="M1552" s="10">
        <v>0</v>
      </c>
      <c r="N1552" s="10"/>
      <c r="O1552" s="10"/>
      <c r="P1552" s="10"/>
      <c r="Q1552" s="10"/>
      <c r="R1552" s="10"/>
      <c r="T1552" s="10">
        <f t="shared" si="432"/>
        <v>1300</v>
      </c>
    </row>
    <row r="1553" spans="2:20" x14ac:dyDescent="0.25">
      <c r="B1553" s="97">
        <f t="shared" si="440"/>
        <v>765</v>
      </c>
      <c r="C1553" s="9"/>
      <c r="D1553" s="9"/>
      <c r="E1553" s="9"/>
      <c r="F1553" s="54" t="s">
        <v>562</v>
      </c>
      <c r="G1553" s="126">
        <v>637</v>
      </c>
      <c r="H1553" s="9" t="s">
        <v>308</v>
      </c>
      <c r="I1553" s="10">
        <v>690</v>
      </c>
      <c r="J1553" s="10">
        <v>830</v>
      </c>
      <c r="K1553" s="10">
        <v>830</v>
      </c>
      <c r="L1553" s="10">
        <v>716</v>
      </c>
      <c r="M1553" s="10">
        <v>806</v>
      </c>
      <c r="N1553" s="10"/>
      <c r="O1553" s="10"/>
      <c r="P1553" s="10"/>
      <c r="Q1553" s="10"/>
      <c r="R1553" s="10"/>
      <c r="T1553" s="10">
        <f t="shared" si="432"/>
        <v>690</v>
      </c>
    </row>
    <row r="1554" spans="2:20" x14ac:dyDescent="0.25">
      <c r="B1554" s="97">
        <f t="shared" si="440"/>
        <v>766</v>
      </c>
      <c r="C1554" s="29"/>
      <c r="D1554" s="29"/>
      <c r="E1554" s="29"/>
      <c r="F1554" s="53" t="s">
        <v>562</v>
      </c>
      <c r="G1554" s="125">
        <v>640</v>
      </c>
      <c r="H1554" s="29" t="s">
        <v>315</v>
      </c>
      <c r="I1554" s="15">
        <v>0</v>
      </c>
      <c r="J1554" s="15">
        <v>0</v>
      </c>
      <c r="K1554" s="15">
        <v>0</v>
      </c>
      <c r="L1554" s="15">
        <v>34</v>
      </c>
      <c r="M1554" s="15">
        <v>0</v>
      </c>
      <c r="N1554" s="15"/>
      <c r="O1554" s="15"/>
      <c r="P1554" s="15"/>
      <c r="Q1554" s="15"/>
      <c r="R1554" s="15"/>
      <c r="T1554" s="15">
        <f t="shared" si="432"/>
        <v>0</v>
      </c>
    </row>
    <row r="1555" spans="2:20" x14ac:dyDescent="0.25">
      <c r="B1555" s="97">
        <f t="shared" si="440"/>
        <v>767</v>
      </c>
      <c r="C1555" s="29"/>
      <c r="D1555" s="29"/>
      <c r="E1555" s="29"/>
      <c r="F1555" s="53" t="s">
        <v>562</v>
      </c>
      <c r="G1555" s="125">
        <v>710</v>
      </c>
      <c r="H1555" s="29" t="s">
        <v>321</v>
      </c>
      <c r="I1555" s="15"/>
      <c r="J1555" s="15"/>
      <c r="K1555" s="15"/>
      <c r="L1555" s="15"/>
      <c r="M1555" s="15"/>
      <c r="N1555" s="15"/>
      <c r="O1555" s="15"/>
      <c r="P1555" s="15"/>
      <c r="Q1555" s="15">
        <f t="shared" ref="Q1555" si="448">Q1556</f>
        <v>5693</v>
      </c>
      <c r="R1555" s="15"/>
      <c r="T1555" s="15">
        <f t="shared" si="432"/>
        <v>0</v>
      </c>
    </row>
    <row r="1556" spans="2:20" x14ac:dyDescent="0.25">
      <c r="B1556" s="97">
        <f t="shared" si="440"/>
        <v>768</v>
      </c>
      <c r="C1556" s="9"/>
      <c r="D1556" s="9"/>
      <c r="E1556" s="9"/>
      <c r="F1556" s="54" t="s">
        <v>562</v>
      </c>
      <c r="G1556" s="126">
        <v>713</v>
      </c>
      <c r="H1556" s="9" t="s">
        <v>360</v>
      </c>
      <c r="I1556" s="10"/>
      <c r="J1556" s="10"/>
      <c r="K1556" s="10"/>
      <c r="L1556" s="10"/>
      <c r="M1556" s="10"/>
      <c r="N1556" s="10"/>
      <c r="O1556" s="10"/>
      <c r="P1556" s="10"/>
      <c r="Q1556" s="10">
        <v>5693</v>
      </c>
      <c r="R1556" s="10"/>
      <c r="T1556" s="10">
        <f t="shared" si="432"/>
        <v>0</v>
      </c>
    </row>
    <row r="1557" spans="2:20" x14ac:dyDescent="0.25">
      <c r="B1557" s="97">
        <f t="shared" si="440"/>
        <v>769</v>
      </c>
      <c r="C1557" s="51"/>
      <c r="D1557" s="51"/>
      <c r="E1557" s="51" t="s">
        <v>118</v>
      </c>
      <c r="F1557" s="51"/>
      <c r="G1557" s="124"/>
      <c r="H1557" s="51" t="s">
        <v>119</v>
      </c>
      <c r="I1557" s="52">
        <f>I1558+I1559+I1560+I1564+I1565</f>
        <v>32702</v>
      </c>
      <c r="J1557" s="52">
        <f t="shared" ref="J1557:R1557" si="449">J1564+J1560+J1559+J1558</f>
        <v>31927</v>
      </c>
      <c r="K1557" s="52">
        <f t="shared" si="449"/>
        <v>32277</v>
      </c>
      <c r="L1557" s="52">
        <f t="shared" si="449"/>
        <v>21130</v>
      </c>
      <c r="M1557" s="52">
        <f t="shared" si="449"/>
        <v>17548</v>
      </c>
      <c r="N1557" s="52">
        <v>0</v>
      </c>
      <c r="O1557" s="52">
        <f t="shared" si="449"/>
        <v>0</v>
      </c>
      <c r="P1557" s="52">
        <f t="shared" si="449"/>
        <v>0</v>
      </c>
      <c r="Q1557" s="52">
        <f>Q1564+Q1560+Q1559+Q1558+Q1565</f>
        <v>1855</v>
      </c>
      <c r="R1557" s="52">
        <f t="shared" si="449"/>
        <v>0</v>
      </c>
      <c r="T1557" s="52">
        <f t="shared" si="432"/>
        <v>32702</v>
      </c>
    </row>
    <row r="1558" spans="2:20" x14ac:dyDescent="0.25">
      <c r="B1558" s="97">
        <f t="shared" si="440"/>
        <v>770</v>
      </c>
      <c r="C1558" s="29"/>
      <c r="D1558" s="29"/>
      <c r="E1558" s="29"/>
      <c r="F1558" s="53" t="s">
        <v>562</v>
      </c>
      <c r="G1558" s="125">
        <v>610</v>
      </c>
      <c r="H1558" s="29" t="s">
        <v>338</v>
      </c>
      <c r="I1558" s="15">
        <f>19345+720</f>
        <v>20065</v>
      </c>
      <c r="J1558" s="15">
        <v>18251</v>
      </c>
      <c r="K1558" s="15">
        <v>18251</v>
      </c>
      <c r="L1558" s="15">
        <v>13708</v>
      </c>
      <c r="M1558" s="15">
        <v>11402</v>
      </c>
      <c r="N1558" s="15"/>
      <c r="O1558" s="15"/>
      <c r="P1558" s="15"/>
      <c r="Q1558" s="15"/>
      <c r="R1558" s="15"/>
      <c r="T1558" s="15">
        <f t="shared" si="432"/>
        <v>20065</v>
      </c>
    </row>
    <row r="1559" spans="2:20" x14ac:dyDescent="0.25">
      <c r="B1559" s="97">
        <f t="shared" si="440"/>
        <v>771</v>
      </c>
      <c r="C1559" s="29"/>
      <c r="D1559" s="29"/>
      <c r="E1559" s="29"/>
      <c r="F1559" s="53" t="s">
        <v>562</v>
      </c>
      <c r="G1559" s="125">
        <v>620</v>
      </c>
      <c r="H1559" s="29" t="s">
        <v>313</v>
      </c>
      <c r="I1559" s="15">
        <f>7185+252</f>
        <v>7437</v>
      </c>
      <c r="J1559" s="15">
        <v>6781</v>
      </c>
      <c r="K1559" s="15">
        <v>6781</v>
      </c>
      <c r="L1559" s="15">
        <v>4915</v>
      </c>
      <c r="M1559" s="15">
        <v>4088</v>
      </c>
      <c r="N1559" s="15"/>
      <c r="O1559" s="15"/>
      <c r="P1559" s="15"/>
      <c r="Q1559" s="15"/>
      <c r="R1559" s="15"/>
      <c r="T1559" s="15">
        <f t="shared" si="432"/>
        <v>7437</v>
      </c>
    </row>
    <row r="1560" spans="2:20" x14ac:dyDescent="0.25">
      <c r="B1560" s="97">
        <f t="shared" si="440"/>
        <v>772</v>
      </c>
      <c r="C1560" s="29"/>
      <c r="D1560" s="29"/>
      <c r="E1560" s="29"/>
      <c r="F1560" s="53" t="s">
        <v>562</v>
      </c>
      <c r="G1560" s="125">
        <v>630</v>
      </c>
      <c r="H1560" s="29" t="s">
        <v>303</v>
      </c>
      <c r="I1560" s="15">
        <f>I1561+I1562+I1563</f>
        <v>5200</v>
      </c>
      <c r="J1560" s="15">
        <f t="shared" ref="J1560:R1560" si="450">J1563+J1562+J1561</f>
        <v>6445</v>
      </c>
      <c r="K1560" s="15">
        <f t="shared" si="450"/>
        <v>6795</v>
      </c>
      <c r="L1560" s="15">
        <f t="shared" si="450"/>
        <v>2255</v>
      </c>
      <c r="M1560" s="15">
        <f t="shared" si="450"/>
        <v>2058</v>
      </c>
      <c r="N1560" s="15"/>
      <c r="O1560" s="15">
        <f t="shared" si="450"/>
        <v>0</v>
      </c>
      <c r="P1560" s="15">
        <f t="shared" si="450"/>
        <v>0</v>
      </c>
      <c r="Q1560" s="15">
        <f t="shared" si="450"/>
        <v>0</v>
      </c>
      <c r="R1560" s="15">
        <f t="shared" si="450"/>
        <v>0</v>
      </c>
      <c r="T1560" s="15">
        <f t="shared" si="432"/>
        <v>5200</v>
      </c>
    </row>
    <row r="1561" spans="2:20" x14ac:dyDescent="0.25">
      <c r="B1561" s="97">
        <f t="shared" si="440"/>
        <v>773</v>
      </c>
      <c r="C1561" s="9"/>
      <c r="D1561" s="9"/>
      <c r="E1561" s="9"/>
      <c r="F1561" s="54" t="s">
        <v>562</v>
      </c>
      <c r="G1561" s="126">
        <v>633</v>
      </c>
      <c r="H1561" s="9" t="s">
        <v>305</v>
      </c>
      <c r="I1561" s="10">
        <v>2950</v>
      </c>
      <c r="J1561" s="10">
        <v>5200</v>
      </c>
      <c r="K1561" s="10">
        <v>5550</v>
      </c>
      <c r="L1561" s="10">
        <v>1341</v>
      </c>
      <c r="M1561" s="10">
        <v>1089</v>
      </c>
      <c r="N1561" s="10"/>
      <c r="O1561" s="10"/>
      <c r="P1561" s="10"/>
      <c r="Q1561" s="10"/>
      <c r="R1561" s="10"/>
      <c r="T1561" s="10">
        <f t="shared" ref="T1561:T1624" si="451">I1561+N1561</f>
        <v>2950</v>
      </c>
    </row>
    <row r="1562" spans="2:20" x14ac:dyDescent="0.25">
      <c r="B1562" s="97">
        <f t="shared" si="440"/>
        <v>774</v>
      </c>
      <c r="C1562" s="9"/>
      <c r="D1562" s="9"/>
      <c r="E1562" s="9"/>
      <c r="F1562" s="54" t="s">
        <v>562</v>
      </c>
      <c r="G1562" s="126">
        <v>635</v>
      </c>
      <c r="H1562" s="9" t="s">
        <v>320</v>
      </c>
      <c r="I1562" s="10">
        <v>1400</v>
      </c>
      <c r="J1562" s="10">
        <v>150</v>
      </c>
      <c r="K1562" s="10">
        <v>150</v>
      </c>
      <c r="L1562" s="10">
        <v>216</v>
      </c>
      <c r="M1562" s="10">
        <v>0</v>
      </c>
      <c r="N1562" s="10"/>
      <c r="O1562" s="10"/>
      <c r="P1562" s="10"/>
      <c r="Q1562" s="10"/>
      <c r="R1562" s="10"/>
      <c r="T1562" s="10">
        <f t="shared" si="451"/>
        <v>1400</v>
      </c>
    </row>
    <row r="1563" spans="2:20" x14ac:dyDescent="0.25">
      <c r="B1563" s="97">
        <f t="shared" si="440"/>
        <v>775</v>
      </c>
      <c r="C1563" s="9"/>
      <c r="D1563" s="9"/>
      <c r="E1563" s="9"/>
      <c r="F1563" s="54" t="s">
        <v>562</v>
      </c>
      <c r="G1563" s="126">
        <v>637</v>
      </c>
      <c r="H1563" s="9" t="s">
        <v>308</v>
      </c>
      <c r="I1563" s="10">
        <v>850</v>
      </c>
      <c r="J1563" s="10">
        <v>1095</v>
      </c>
      <c r="K1563" s="10">
        <v>1095</v>
      </c>
      <c r="L1563" s="10">
        <v>698</v>
      </c>
      <c r="M1563" s="10">
        <v>969</v>
      </c>
      <c r="N1563" s="10"/>
      <c r="O1563" s="10"/>
      <c r="P1563" s="10"/>
      <c r="Q1563" s="10"/>
      <c r="R1563" s="10"/>
      <c r="T1563" s="10">
        <f t="shared" si="451"/>
        <v>850</v>
      </c>
    </row>
    <row r="1564" spans="2:20" x14ac:dyDescent="0.25">
      <c r="B1564" s="97">
        <f t="shared" si="440"/>
        <v>776</v>
      </c>
      <c r="C1564" s="29"/>
      <c r="D1564" s="29"/>
      <c r="E1564" s="29"/>
      <c r="F1564" s="53" t="s">
        <v>562</v>
      </c>
      <c r="G1564" s="125">
        <v>640</v>
      </c>
      <c r="H1564" s="29" t="s">
        <v>315</v>
      </c>
      <c r="I1564" s="15">
        <v>0</v>
      </c>
      <c r="J1564" s="15">
        <v>450</v>
      </c>
      <c r="K1564" s="15">
        <v>450</v>
      </c>
      <c r="L1564" s="15">
        <v>252</v>
      </c>
      <c r="M1564" s="15">
        <v>0</v>
      </c>
      <c r="N1564" s="15"/>
      <c r="O1564" s="15"/>
      <c r="P1564" s="15"/>
      <c r="Q1564" s="15"/>
      <c r="R1564" s="15"/>
      <c r="T1564" s="15">
        <f t="shared" si="451"/>
        <v>0</v>
      </c>
    </row>
    <row r="1565" spans="2:20" x14ac:dyDescent="0.25">
      <c r="B1565" s="97">
        <f t="shared" si="440"/>
        <v>777</v>
      </c>
      <c r="C1565" s="29"/>
      <c r="D1565" s="29"/>
      <c r="E1565" s="29"/>
      <c r="F1565" s="53" t="s">
        <v>562</v>
      </c>
      <c r="G1565" s="125">
        <v>710</v>
      </c>
      <c r="H1565" s="29" t="s">
        <v>321</v>
      </c>
      <c r="I1565" s="15">
        <f>I1566</f>
        <v>0</v>
      </c>
      <c r="J1565" s="15">
        <f t="shared" ref="J1565:Q1565" si="452">J1566</f>
        <v>0</v>
      </c>
      <c r="K1565" s="15">
        <f t="shared" si="452"/>
        <v>0</v>
      </c>
      <c r="L1565" s="15">
        <f t="shared" si="452"/>
        <v>0</v>
      </c>
      <c r="M1565" s="15">
        <f t="shared" si="452"/>
        <v>0</v>
      </c>
      <c r="N1565" s="15"/>
      <c r="O1565" s="15">
        <f t="shared" si="452"/>
        <v>0</v>
      </c>
      <c r="P1565" s="15">
        <f t="shared" si="452"/>
        <v>0</v>
      </c>
      <c r="Q1565" s="15">
        <f t="shared" si="452"/>
        <v>1855</v>
      </c>
      <c r="R1565" s="15"/>
      <c r="T1565" s="15">
        <f t="shared" si="451"/>
        <v>0</v>
      </c>
    </row>
    <row r="1566" spans="2:20" x14ac:dyDescent="0.25">
      <c r="B1566" s="97">
        <f t="shared" si="440"/>
        <v>778</v>
      </c>
      <c r="C1566" s="29"/>
      <c r="D1566" s="29"/>
      <c r="E1566" s="29"/>
      <c r="F1566" s="54" t="s">
        <v>562</v>
      </c>
      <c r="G1566" s="126">
        <v>713</v>
      </c>
      <c r="H1566" s="9" t="s">
        <v>360</v>
      </c>
      <c r="I1566" s="10">
        <v>0</v>
      </c>
      <c r="J1566" s="10"/>
      <c r="K1566" s="10"/>
      <c r="L1566" s="10"/>
      <c r="M1566" s="10"/>
      <c r="N1566" s="10"/>
      <c r="O1566" s="10">
        <v>0</v>
      </c>
      <c r="P1566" s="10">
        <v>0</v>
      </c>
      <c r="Q1566" s="10">
        <v>1855</v>
      </c>
      <c r="R1566" s="15"/>
      <c r="T1566" s="15">
        <f t="shared" si="451"/>
        <v>0</v>
      </c>
    </row>
    <row r="1567" spans="2:20" x14ac:dyDescent="0.25">
      <c r="B1567" s="97">
        <f t="shared" si="440"/>
        <v>779</v>
      </c>
      <c r="C1567" s="51"/>
      <c r="D1567" s="51"/>
      <c r="E1567" s="51" t="s">
        <v>120</v>
      </c>
      <c r="F1567" s="51"/>
      <c r="G1567" s="124"/>
      <c r="H1567" s="51" t="s">
        <v>121</v>
      </c>
      <c r="I1567" s="52">
        <f>I1568+I1569+I1570</f>
        <v>37607</v>
      </c>
      <c r="J1567" s="52">
        <f t="shared" ref="J1567:M1567" si="453">J1568+J1569+J1570</f>
        <v>33805</v>
      </c>
      <c r="K1567" s="52">
        <f t="shared" si="453"/>
        <v>33805</v>
      </c>
      <c r="L1567" s="52">
        <f t="shared" si="453"/>
        <v>29617</v>
      </c>
      <c r="M1567" s="52">
        <f t="shared" si="453"/>
        <v>26295</v>
      </c>
      <c r="N1567" s="52">
        <v>0</v>
      </c>
      <c r="O1567" s="52">
        <v>0</v>
      </c>
      <c r="P1567" s="52">
        <v>0</v>
      </c>
      <c r="Q1567" s="52">
        <f>Q1574</f>
        <v>4464</v>
      </c>
      <c r="R1567" s="52">
        <v>0</v>
      </c>
      <c r="T1567" s="52">
        <f t="shared" si="451"/>
        <v>37607</v>
      </c>
    </row>
    <row r="1568" spans="2:20" x14ac:dyDescent="0.25">
      <c r="B1568" s="97">
        <f t="shared" si="440"/>
        <v>780</v>
      </c>
      <c r="C1568" s="29"/>
      <c r="D1568" s="29"/>
      <c r="E1568" s="29"/>
      <c r="F1568" s="53" t="s">
        <v>562</v>
      </c>
      <c r="G1568" s="125">
        <v>610</v>
      </c>
      <c r="H1568" s="29" t="s">
        <v>338</v>
      </c>
      <c r="I1568" s="15">
        <f>22280+720</f>
        <v>23000</v>
      </c>
      <c r="J1568" s="15">
        <v>21020</v>
      </c>
      <c r="K1568" s="15">
        <v>21020</v>
      </c>
      <c r="L1568" s="15">
        <v>19748</v>
      </c>
      <c r="M1568" s="15">
        <v>17227</v>
      </c>
      <c r="N1568" s="15"/>
      <c r="O1568" s="15"/>
      <c r="P1568" s="15"/>
      <c r="Q1568" s="15"/>
      <c r="R1568" s="15"/>
      <c r="T1568" s="15">
        <f t="shared" si="451"/>
        <v>23000</v>
      </c>
    </row>
    <row r="1569" spans="2:20" x14ac:dyDescent="0.25">
      <c r="B1569" s="97">
        <f t="shared" si="440"/>
        <v>781</v>
      </c>
      <c r="C1569" s="29"/>
      <c r="D1569" s="29"/>
      <c r="E1569" s="29"/>
      <c r="F1569" s="53" t="s">
        <v>562</v>
      </c>
      <c r="G1569" s="125">
        <v>620</v>
      </c>
      <c r="H1569" s="29" t="s">
        <v>313</v>
      </c>
      <c r="I1569" s="15">
        <f>8280+252</f>
        <v>8532</v>
      </c>
      <c r="J1569" s="15">
        <v>7810</v>
      </c>
      <c r="K1569" s="15">
        <v>7810</v>
      </c>
      <c r="L1569" s="15">
        <v>7106</v>
      </c>
      <c r="M1569" s="15">
        <v>6118</v>
      </c>
      <c r="N1569" s="15"/>
      <c r="O1569" s="15"/>
      <c r="P1569" s="15"/>
      <c r="Q1569" s="15"/>
      <c r="R1569" s="15"/>
      <c r="T1569" s="15">
        <f t="shared" si="451"/>
        <v>8532</v>
      </c>
    </row>
    <row r="1570" spans="2:20" x14ac:dyDescent="0.25">
      <c r="B1570" s="97">
        <f t="shared" si="440"/>
        <v>782</v>
      </c>
      <c r="C1570" s="29"/>
      <c r="D1570" s="29"/>
      <c r="E1570" s="29"/>
      <c r="F1570" s="53" t="s">
        <v>562</v>
      </c>
      <c r="G1570" s="125">
        <v>630</v>
      </c>
      <c r="H1570" s="29" t="s">
        <v>303</v>
      </c>
      <c r="I1570" s="15">
        <f>I1571+I1572+I1573</f>
        <v>6075</v>
      </c>
      <c r="J1570" s="15">
        <f t="shared" ref="J1570:M1570" si="454">J1573+J1572+J1571</f>
        <v>4975</v>
      </c>
      <c r="K1570" s="15">
        <f t="shared" si="454"/>
        <v>4975</v>
      </c>
      <c r="L1570" s="15">
        <f t="shared" si="454"/>
        <v>2763</v>
      </c>
      <c r="M1570" s="15">
        <f t="shared" si="454"/>
        <v>2950</v>
      </c>
      <c r="N1570" s="15"/>
      <c r="O1570" s="15"/>
      <c r="P1570" s="15"/>
      <c r="Q1570" s="15"/>
      <c r="R1570" s="15"/>
      <c r="T1570" s="15">
        <f t="shared" si="451"/>
        <v>6075</v>
      </c>
    </row>
    <row r="1571" spans="2:20" x14ac:dyDescent="0.25">
      <c r="B1571" s="97">
        <f t="shared" si="440"/>
        <v>783</v>
      </c>
      <c r="C1571" s="9"/>
      <c r="D1571" s="9"/>
      <c r="E1571" s="9"/>
      <c r="F1571" s="54" t="s">
        <v>562</v>
      </c>
      <c r="G1571" s="126">
        <v>633</v>
      </c>
      <c r="H1571" s="9" t="s">
        <v>305</v>
      </c>
      <c r="I1571" s="10">
        <v>3750</v>
      </c>
      <c r="J1571" s="10">
        <v>3200</v>
      </c>
      <c r="K1571" s="10">
        <v>3200</v>
      </c>
      <c r="L1571" s="10">
        <v>1670</v>
      </c>
      <c r="M1571" s="10">
        <v>1373</v>
      </c>
      <c r="N1571" s="10"/>
      <c r="O1571" s="10"/>
      <c r="P1571" s="10"/>
      <c r="Q1571" s="10"/>
      <c r="R1571" s="10"/>
      <c r="T1571" s="10">
        <f t="shared" si="451"/>
        <v>3750</v>
      </c>
    </row>
    <row r="1572" spans="2:20" x14ac:dyDescent="0.25">
      <c r="B1572" s="97">
        <f t="shared" si="440"/>
        <v>784</v>
      </c>
      <c r="C1572" s="9"/>
      <c r="D1572" s="9"/>
      <c r="E1572" s="9"/>
      <c r="F1572" s="54" t="s">
        <v>562</v>
      </c>
      <c r="G1572" s="126">
        <v>635</v>
      </c>
      <c r="H1572" s="9" t="s">
        <v>320</v>
      </c>
      <c r="I1572" s="10">
        <v>1400</v>
      </c>
      <c r="J1572" s="10">
        <v>150</v>
      </c>
      <c r="K1572" s="10">
        <v>150</v>
      </c>
      <c r="L1572" s="10">
        <v>238</v>
      </c>
      <c r="M1572" s="10">
        <v>0</v>
      </c>
      <c r="N1572" s="10"/>
      <c r="O1572" s="10"/>
      <c r="P1572" s="10"/>
      <c r="Q1572" s="10"/>
      <c r="R1572" s="10"/>
      <c r="T1572" s="10">
        <f t="shared" si="451"/>
        <v>1400</v>
      </c>
    </row>
    <row r="1573" spans="2:20" x14ac:dyDescent="0.25">
      <c r="B1573" s="97">
        <f t="shared" si="440"/>
        <v>785</v>
      </c>
      <c r="C1573" s="9"/>
      <c r="D1573" s="9"/>
      <c r="E1573" s="9"/>
      <c r="F1573" s="54" t="s">
        <v>562</v>
      </c>
      <c r="G1573" s="126">
        <v>637</v>
      </c>
      <c r="H1573" s="9" t="s">
        <v>308</v>
      </c>
      <c r="I1573" s="10">
        <v>925</v>
      </c>
      <c r="J1573" s="10">
        <v>1625</v>
      </c>
      <c r="K1573" s="10">
        <v>1625</v>
      </c>
      <c r="L1573" s="10">
        <v>855</v>
      </c>
      <c r="M1573" s="10">
        <v>1577</v>
      </c>
      <c r="N1573" s="10"/>
      <c r="O1573" s="10"/>
      <c r="P1573" s="10"/>
      <c r="Q1573" s="10"/>
      <c r="R1573" s="10"/>
      <c r="T1573" s="10">
        <f t="shared" si="451"/>
        <v>925</v>
      </c>
    </row>
    <row r="1574" spans="2:20" x14ac:dyDescent="0.25">
      <c r="B1574" s="97">
        <f t="shared" si="440"/>
        <v>786</v>
      </c>
      <c r="C1574" s="29"/>
      <c r="D1574" s="29"/>
      <c r="E1574" s="29"/>
      <c r="F1574" s="53" t="s">
        <v>562</v>
      </c>
      <c r="G1574" s="125">
        <v>710</v>
      </c>
      <c r="H1574" s="29" t="s">
        <v>321</v>
      </c>
      <c r="I1574" s="15"/>
      <c r="J1574" s="15"/>
      <c r="K1574" s="15"/>
      <c r="L1574" s="15"/>
      <c r="M1574" s="15"/>
      <c r="N1574" s="15"/>
      <c r="O1574" s="15"/>
      <c r="P1574" s="15"/>
      <c r="Q1574" s="15">
        <f t="shared" ref="Q1574" si="455">Q1575</f>
        <v>4464</v>
      </c>
      <c r="R1574" s="15"/>
      <c r="T1574" s="15">
        <f t="shared" si="451"/>
        <v>0</v>
      </c>
    </row>
    <row r="1575" spans="2:20" x14ac:dyDescent="0.25">
      <c r="B1575" s="97">
        <f t="shared" si="440"/>
        <v>787</v>
      </c>
      <c r="C1575" s="9"/>
      <c r="D1575" s="9"/>
      <c r="E1575" s="9"/>
      <c r="F1575" s="54" t="s">
        <v>562</v>
      </c>
      <c r="G1575" s="126">
        <v>713</v>
      </c>
      <c r="H1575" s="9" t="s">
        <v>360</v>
      </c>
      <c r="I1575" s="10"/>
      <c r="J1575" s="10"/>
      <c r="K1575" s="10"/>
      <c r="L1575" s="10"/>
      <c r="M1575" s="10"/>
      <c r="N1575" s="10"/>
      <c r="O1575" s="10"/>
      <c r="P1575" s="10"/>
      <c r="Q1575" s="10">
        <v>4464</v>
      </c>
      <c r="R1575" s="10"/>
      <c r="T1575" s="10">
        <f t="shared" si="451"/>
        <v>0</v>
      </c>
    </row>
    <row r="1576" spans="2:20" x14ac:dyDescent="0.25">
      <c r="B1576" s="97">
        <f t="shared" si="440"/>
        <v>788</v>
      </c>
      <c r="C1576" s="51"/>
      <c r="D1576" s="51"/>
      <c r="E1576" s="51" t="s">
        <v>122</v>
      </c>
      <c r="F1576" s="51"/>
      <c r="G1576" s="124"/>
      <c r="H1576" s="51" t="s">
        <v>123</v>
      </c>
      <c r="I1576" s="52">
        <f>I1577+I1578+I1579</f>
        <v>27411</v>
      </c>
      <c r="J1576" s="52">
        <f t="shared" ref="J1576:M1576" si="456">J1577+J1578+J1579</f>
        <v>25635</v>
      </c>
      <c r="K1576" s="52">
        <f t="shared" si="456"/>
        <v>25635</v>
      </c>
      <c r="L1576" s="52">
        <f t="shared" si="456"/>
        <v>23432</v>
      </c>
      <c r="M1576" s="52">
        <f t="shared" si="456"/>
        <v>23075</v>
      </c>
      <c r="N1576" s="52">
        <v>0</v>
      </c>
      <c r="O1576" s="52">
        <v>0</v>
      </c>
      <c r="P1576" s="52">
        <v>0</v>
      </c>
      <c r="Q1576" s="52">
        <f>Q1583</f>
        <v>2628</v>
      </c>
      <c r="R1576" s="52">
        <v>0</v>
      </c>
      <c r="T1576" s="52">
        <f t="shared" si="451"/>
        <v>27411</v>
      </c>
    </row>
    <row r="1577" spans="2:20" x14ac:dyDescent="0.25">
      <c r="B1577" s="97">
        <f t="shared" si="440"/>
        <v>789</v>
      </c>
      <c r="C1577" s="29"/>
      <c r="D1577" s="29"/>
      <c r="E1577" s="29"/>
      <c r="F1577" s="53" t="s">
        <v>562</v>
      </c>
      <c r="G1577" s="125">
        <v>610</v>
      </c>
      <c r="H1577" s="29" t="s">
        <v>338</v>
      </c>
      <c r="I1577" s="15">
        <f>17385+360</f>
        <v>17745</v>
      </c>
      <c r="J1577" s="15">
        <v>16400</v>
      </c>
      <c r="K1577" s="15">
        <v>16400</v>
      </c>
      <c r="L1577" s="15">
        <v>15815</v>
      </c>
      <c r="M1577" s="15">
        <v>15205</v>
      </c>
      <c r="N1577" s="15"/>
      <c r="O1577" s="15"/>
      <c r="P1577" s="15"/>
      <c r="Q1577" s="15"/>
      <c r="R1577" s="15"/>
      <c r="T1577" s="15">
        <f t="shared" si="451"/>
        <v>17745</v>
      </c>
    </row>
    <row r="1578" spans="2:20" x14ac:dyDescent="0.25">
      <c r="B1578" s="97">
        <f t="shared" si="440"/>
        <v>790</v>
      </c>
      <c r="C1578" s="29"/>
      <c r="D1578" s="29"/>
      <c r="E1578" s="29"/>
      <c r="F1578" s="53" t="s">
        <v>562</v>
      </c>
      <c r="G1578" s="125">
        <v>620</v>
      </c>
      <c r="H1578" s="29" t="s">
        <v>313</v>
      </c>
      <c r="I1578" s="15">
        <f>6460+126</f>
        <v>6586</v>
      </c>
      <c r="J1578" s="15">
        <v>6095</v>
      </c>
      <c r="K1578" s="15">
        <v>6095</v>
      </c>
      <c r="L1578" s="15">
        <v>5909</v>
      </c>
      <c r="M1578" s="15">
        <v>5520</v>
      </c>
      <c r="N1578" s="15"/>
      <c r="O1578" s="15"/>
      <c r="P1578" s="15"/>
      <c r="Q1578" s="15"/>
      <c r="R1578" s="15"/>
      <c r="T1578" s="15">
        <f t="shared" si="451"/>
        <v>6586</v>
      </c>
    </row>
    <row r="1579" spans="2:20" x14ac:dyDescent="0.25">
      <c r="B1579" s="97">
        <f t="shared" si="440"/>
        <v>791</v>
      </c>
      <c r="C1579" s="29"/>
      <c r="D1579" s="29"/>
      <c r="E1579" s="29"/>
      <c r="F1579" s="53" t="s">
        <v>562</v>
      </c>
      <c r="G1579" s="125">
        <v>630</v>
      </c>
      <c r="H1579" s="29" t="s">
        <v>303</v>
      </c>
      <c r="I1579" s="15">
        <f>I1580+I1581+I1582</f>
        <v>3080</v>
      </c>
      <c r="J1579" s="15">
        <f t="shared" ref="J1579:M1579" si="457">J1582+J1581+J1580</f>
        <v>3140</v>
      </c>
      <c r="K1579" s="15">
        <f t="shared" si="457"/>
        <v>3140</v>
      </c>
      <c r="L1579" s="15">
        <f t="shared" si="457"/>
        <v>1708</v>
      </c>
      <c r="M1579" s="15">
        <f t="shared" si="457"/>
        <v>2350</v>
      </c>
      <c r="N1579" s="15"/>
      <c r="O1579" s="15"/>
      <c r="P1579" s="15"/>
      <c r="Q1579" s="15"/>
      <c r="R1579" s="15"/>
      <c r="T1579" s="15">
        <f t="shared" si="451"/>
        <v>3080</v>
      </c>
    </row>
    <row r="1580" spans="2:20" x14ac:dyDescent="0.25">
      <c r="B1580" s="97">
        <f t="shared" si="440"/>
        <v>792</v>
      </c>
      <c r="C1580" s="9"/>
      <c r="D1580" s="9"/>
      <c r="E1580" s="9"/>
      <c r="F1580" s="54" t="s">
        <v>562</v>
      </c>
      <c r="G1580" s="126">
        <v>633</v>
      </c>
      <c r="H1580" s="9" t="s">
        <v>305</v>
      </c>
      <c r="I1580" s="10">
        <v>950</v>
      </c>
      <c r="J1580" s="10">
        <v>1500</v>
      </c>
      <c r="K1580" s="10">
        <v>1500</v>
      </c>
      <c r="L1580" s="10">
        <v>855</v>
      </c>
      <c r="M1580" s="10">
        <v>628</v>
      </c>
      <c r="N1580" s="10"/>
      <c r="O1580" s="10"/>
      <c r="P1580" s="10"/>
      <c r="Q1580" s="10"/>
      <c r="R1580" s="10"/>
      <c r="T1580" s="10">
        <f t="shared" si="451"/>
        <v>950</v>
      </c>
    </row>
    <row r="1581" spans="2:20" x14ac:dyDescent="0.25">
      <c r="B1581" s="97">
        <f t="shared" si="440"/>
        <v>793</v>
      </c>
      <c r="C1581" s="9"/>
      <c r="D1581" s="9"/>
      <c r="E1581" s="9"/>
      <c r="F1581" s="54" t="s">
        <v>562</v>
      </c>
      <c r="G1581" s="126">
        <v>635</v>
      </c>
      <c r="H1581" s="9" t="s">
        <v>320</v>
      </c>
      <c r="I1581" s="10">
        <v>1400</v>
      </c>
      <c r="J1581" s="10">
        <v>200</v>
      </c>
      <c r="K1581" s="10">
        <v>200</v>
      </c>
      <c r="L1581" s="10">
        <v>153</v>
      </c>
      <c r="M1581" s="10">
        <v>350</v>
      </c>
      <c r="N1581" s="10"/>
      <c r="O1581" s="10"/>
      <c r="P1581" s="10"/>
      <c r="Q1581" s="10"/>
      <c r="R1581" s="10"/>
      <c r="T1581" s="10">
        <f t="shared" si="451"/>
        <v>1400</v>
      </c>
    </row>
    <row r="1582" spans="2:20" x14ac:dyDescent="0.25">
      <c r="B1582" s="97">
        <f t="shared" si="440"/>
        <v>794</v>
      </c>
      <c r="C1582" s="9"/>
      <c r="D1582" s="9"/>
      <c r="E1582" s="9"/>
      <c r="F1582" s="54" t="s">
        <v>562</v>
      </c>
      <c r="G1582" s="126">
        <v>637</v>
      </c>
      <c r="H1582" s="9" t="s">
        <v>308</v>
      </c>
      <c r="I1582" s="10">
        <v>730</v>
      </c>
      <c r="J1582" s="10">
        <v>1440</v>
      </c>
      <c r="K1582" s="10">
        <v>1440</v>
      </c>
      <c r="L1582" s="10">
        <v>700</v>
      </c>
      <c r="M1582" s="10">
        <v>1372</v>
      </c>
      <c r="N1582" s="10"/>
      <c r="O1582" s="10"/>
      <c r="P1582" s="10"/>
      <c r="Q1582" s="10"/>
      <c r="R1582" s="10"/>
      <c r="T1582" s="10">
        <f t="shared" si="451"/>
        <v>730</v>
      </c>
    </row>
    <row r="1583" spans="2:20" x14ac:dyDescent="0.25">
      <c r="B1583" s="97">
        <f t="shared" si="440"/>
        <v>795</v>
      </c>
      <c r="C1583" s="29"/>
      <c r="D1583" s="29"/>
      <c r="E1583" s="29"/>
      <c r="F1583" s="53" t="s">
        <v>562</v>
      </c>
      <c r="G1583" s="125">
        <v>710</v>
      </c>
      <c r="H1583" s="29" t="s">
        <v>321</v>
      </c>
      <c r="I1583" s="15"/>
      <c r="J1583" s="15"/>
      <c r="K1583" s="15"/>
      <c r="L1583" s="15"/>
      <c r="M1583" s="15"/>
      <c r="N1583" s="15"/>
      <c r="O1583" s="15"/>
      <c r="P1583" s="15"/>
      <c r="Q1583" s="15">
        <f>Q1584</f>
        <v>2628</v>
      </c>
      <c r="R1583" s="15"/>
      <c r="T1583" s="15">
        <f t="shared" si="451"/>
        <v>0</v>
      </c>
    </row>
    <row r="1584" spans="2:20" x14ac:dyDescent="0.25">
      <c r="B1584" s="97">
        <f t="shared" si="440"/>
        <v>796</v>
      </c>
      <c r="C1584" s="9"/>
      <c r="D1584" s="9"/>
      <c r="E1584" s="9"/>
      <c r="F1584" s="54" t="s">
        <v>562</v>
      </c>
      <c r="G1584" s="126">
        <v>717</v>
      </c>
      <c r="H1584" s="9" t="s">
        <v>327</v>
      </c>
      <c r="I1584" s="10"/>
      <c r="J1584" s="10"/>
      <c r="K1584" s="10"/>
      <c r="L1584" s="10"/>
      <c r="M1584" s="10"/>
      <c r="N1584" s="10"/>
      <c r="O1584" s="10"/>
      <c r="P1584" s="10"/>
      <c r="Q1584" s="10">
        <v>2628</v>
      </c>
      <c r="R1584" s="10"/>
      <c r="T1584" s="10">
        <f t="shared" si="451"/>
        <v>0</v>
      </c>
    </row>
    <row r="1585" spans="2:20" x14ac:dyDescent="0.25">
      <c r="B1585" s="97">
        <f t="shared" si="440"/>
        <v>797</v>
      </c>
      <c r="C1585" s="51"/>
      <c r="D1585" s="51"/>
      <c r="E1585" s="51" t="s">
        <v>124</v>
      </c>
      <c r="F1585" s="51"/>
      <c r="G1585" s="124"/>
      <c r="H1585" s="51" t="s">
        <v>125</v>
      </c>
      <c r="I1585" s="52">
        <f>I1586+I1587+I1588+I1592</f>
        <v>18668</v>
      </c>
      <c r="J1585" s="52">
        <f t="shared" ref="J1585:M1585" si="458">J1586+J1587+J1588</f>
        <v>15992</v>
      </c>
      <c r="K1585" s="52">
        <f t="shared" si="458"/>
        <v>15992</v>
      </c>
      <c r="L1585" s="52">
        <f t="shared" si="458"/>
        <v>14187</v>
      </c>
      <c r="M1585" s="52">
        <f t="shared" si="458"/>
        <v>14793</v>
      </c>
      <c r="N1585" s="52">
        <v>0</v>
      </c>
      <c r="O1585" s="52">
        <v>0</v>
      </c>
      <c r="P1585" s="52">
        <v>0</v>
      </c>
      <c r="Q1585" s="52">
        <v>0</v>
      </c>
      <c r="R1585" s="52">
        <v>0</v>
      </c>
      <c r="T1585" s="52">
        <f t="shared" si="451"/>
        <v>18668</v>
      </c>
    </row>
    <row r="1586" spans="2:20" x14ac:dyDescent="0.25">
      <c r="B1586" s="97">
        <f t="shared" si="440"/>
        <v>798</v>
      </c>
      <c r="C1586" s="29"/>
      <c r="D1586" s="29"/>
      <c r="E1586" s="29"/>
      <c r="F1586" s="53" t="s">
        <v>562</v>
      </c>
      <c r="G1586" s="125">
        <v>610</v>
      </c>
      <c r="H1586" s="29" t="s">
        <v>338</v>
      </c>
      <c r="I1586" s="15">
        <v>9360</v>
      </c>
      <c r="J1586" s="15">
        <v>8831</v>
      </c>
      <c r="K1586" s="15">
        <v>8831</v>
      </c>
      <c r="L1586" s="15">
        <v>10395</v>
      </c>
      <c r="M1586" s="15">
        <v>9984</v>
      </c>
      <c r="N1586" s="15"/>
      <c r="O1586" s="15"/>
      <c r="P1586" s="15"/>
      <c r="Q1586" s="15"/>
      <c r="R1586" s="15"/>
      <c r="T1586" s="15">
        <f t="shared" si="451"/>
        <v>9360</v>
      </c>
    </row>
    <row r="1587" spans="2:20" x14ac:dyDescent="0.25">
      <c r="B1587" s="97">
        <f t="shared" si="440"/>
        <v>799</v>
      </c>
      <c r="C1587" s="29"/>
      <c r="D1587" s="29"/>
      <c r="E1587" s="29"/>
      <c r="F1587" s="53" t="s">
        <v>562</v>
      </c>
      <c r="G1587" s="125">
        <v>620</v>
      </c>
      <c r="H1587" s="29" t="s">
        <v>313</v>
      </c>
      <c r="I1587" s="15">
        <v>3475</v>
      </c>
      <c r="J1587" s="15">
        <v>3281</v>
      </c>
      <c r="K1587" s="15">
        <v>3281</v>
      </c>
      <c r="L1587" s="15">
        <v>2337</v>
      </c>
      <c r="M1587" s="15">
        <v>3421</v>
      </c>
      <c r="N1587" s="15"/>
      <c r="O1587" s="15"/>
      <c r="P1587" s="15"/>
      <c r="Q1587" s="15"/>
      <c r="R1587" s="15"/>
      <c r="T1587" s="15">
        <f t="shared" si="451"/>
        <v>3475</v>
      </c>
    </row>
    <row r="1588" spans="2:20" x14ac:dyDescent="0.25">
      <c r="B1588" s="97">
        <f t="shared" si="440"/>
        <v>800</v>
      </c>
      <c r="C1588" s="29"/>
      <c r="D1588" s="29"/>
      <c r="E1588" s="29"/>
      <c r="F1588" s="53" t="s">
        <v>562</v>
      </c>
      <c r="G1588" s="125">
        <v>630</v>
      </c>
      <c r="H1588" s="29" t="s">
        <v>303</v>
      </c>
      <c r="I1588" s="15">
        <f>I1589+I1590+I1591</f>
        <v>4920</v>
      </c>
      <c r="J1588" s="15">
        <f t="shared" ref="J1588:M1588" si="459">J1591+J1590+J1589</f>
        <v>3880</v>
      </c>
      <c r="K1588" s="15">
        <f t="shared" si="459"/>
        <v>3880</v>
      </c>
      <c r="L1588" s="15">
        <f t="shared" si="459"/>
        <v>1455</v>
      </c>
      <c r="M1588" s="15">
        <f t="shared" si="459"/>
        <v>1388</v>
      </c>
      <c r="N1588" s="15"/>
      <c r="O1588" s="15"/>
      <c r="P1588" s="15"/>
      <c r="Q1588" s="15"/>
      <c r="R1588" s="15"/>
      <c r="T1588" s="15">
        <f t="shared" si="451"/>
        <v>4920</v>
      </c>
    </row>
    <row r="1589" spans="2:20" x14ac:dyDescent="0.25">
      <c r="B1589" s="97">
        <f t="shared" si="440"/>
        <v>801</v>
      </c>
      <c r="C1589" s="9"/>
      <c r="D1589" s="9"/>
      <c r="E1589" s="9"/>
      <c r="F1589" s="54" t="s">
        <v>562</v>
      </c>
      <c r="G1589" s="126">
        <v>633</v>
      </c>
      <c r="H1589" s="9" t="s">
        <v>305</v>
      </c>
      <c r="I1589" s="10">
        <v>1680</v>
      </c>
      <c r="J1589" s="10">
        <v>2780</v>
      </c>
      <c r="K1589" s="10">
        <v>2780</v>
      </c>
      <c r="L1589" s="10">
        <v>857</v>
      </c>
      <c r="M1589" s="10">
        <v>594</v>
      </c>
      <c r="N1589" s="10"/>
      <c r="O1589" s="10"/>
      <c r="P1589" s="10"/>
      <c r="Q1589" s="10"/>
      <c r="R1589" s="10"/>
      <c r="T1589" s="10">
        <f t="shared" si="451"/>
        <v>1680</v>
      </c>
    </row>
    <row r="1590" spans="2:20" x14ac:dyDescent="0.25">
      <c r="B1590" s="97">
        <f t="shared" si="440"/>
        <v>802</v>
      </c>
      <c r="C1590" s="9"/>
      <c r="D1590" s="9"/>
      <c r="E1590" s="9"/>
      <c r="F1590" s="54" t="s">
        <v>562</v>
      </c>
      <c r="G1590" s="126">
        <v>635</v>
      </c>
      <c r="H1590" s="9" t="s">
        <v>320</v>
      </c>
      <c r="I1590" s="10">
        <v>2600</v>
      </c>
      <c r="J1590" s="10">
        <v>200</v>
      </c>
      <c r="K1590" s="10">
        <v>200</v>
      </c>
      <c r="L1590" s="10">
        <v>0</v>
      </c>
      <c r="M1590" s="10">
        <v>0</v>
      </c>
      <c r="N1590" s="10"/>
      <c r="O1590" s="10"/>
      <c r="P1590" s="10"/>
      <c r="Q1590" s="10"/>
      <c r="R1590" s="10"/>
      <c r="T1590" s="10">
        <f t="shared" si="451"/>
        <v>2600</v>
      </c>
    </row>
    <row r="1591" spans="2:20" x14ac:dyDescent="0.25">
      <c r="B1591" s="97">
        <f t="shared" si="440"/>
        <v>803</v>
      </c>
      <c r="C1591" s="9"/>
      <c r="D1591" s="9"/>
      <c r="E1591" s="9"/>
      <c r="F1591" s="54" t="s">
        <v>562</v>
      </c>
      <c r="G1591" s="126">
        <v>637</v>
      </c>
      <c r="H1591" s="9" t="s">
        <v>308</v>
      </c>
      <c r="I1591" s="10">
        <v>640</v>
      </c>
      <c r="J1591" s="10">
        <v>900</v>
      </c>
      <c r="K1591" s="10">
        <v>900</v>
      </c>
      <c r="L1591" s="10">
        <v>598</v>
      </c>
      <c r="M1591" s="10">
        <v>794</v>
      </c>
      <c r="N1591" s="10"/>
      <c r="O1591" s="10"/>
      <c r="P1591" s="10"/>
      <c r="Q1591" s="10"/>
      <c r="R1591" s="10"/>
      <c r="T1591" s="10">
        <f t="shared" si="451"/>
        <v>640</v>
      </c>
    </row>
    <row r="1592" spans="2:20" x14ac:dyDescent="0.25">
      <c r="B1592" s="97">
        <f t="shared" ref="B1592:B1598" si="460">B1591+1</f>
        <v>804</v>
      </c>
      <c r="C1592" s="9"/>
      <c r="D1592" s="9"/>
      <c r="E1592" s="9"/>
      <c r="F1592" s="53" t="s">
        <v>562</v>
      </c>
      <c r="G1592" s="125">
        <v>640</v>
      </c>
      <c r="H1592" s="29" t="s">
        <v>315</v>
      </c>
      <c r="I1592" s="8">
        <v>913</v>
      </c>
      <c r="J1592" s="10"/>
      <c r="K1592" s="10"/>
      <c r="L1592" s="10"/>
      <c r="M1592" s="10"/>
      <c r="N1592" s="10"/>
      <c r="O1592" s="10"/>
      <c r="P1592" s="10"/>
      <c r="Q1592" s="10"/>
      <c r="R1592" s="10"/>
      <c r="T1592" s="10">
        <f t="shared" si="451"/>
        <v>913</v>
      </c>
    </row>
    <row r="1593" spans="2:20" x14ac:dyDescent="0.25">
      <c r="B1593" s="97">
        <f t="shared" si="460"/>
        <v>805</v>
      </c>
      <c r="C1593" s="51"/>
      <c r="D1593" s="51"/>
      <c r="E1593" s="51" t="s">
        <v>126</v>
      </c>
      <c r="F1593" s="51"/>
      <c r="G1593" s="124"/>
      <c r="H1593" s="51" t="s">
        <v>127</v>
      </c>
      <c r="I1593" s="52">
        <f>I1594+I1595+I1596+I1600+I1601</f>
        <v>24236</v>
      </c>
      <c r="J1593" s="52">
        <f t="shared" ref="J1593:R1593" si="461">J1601+J1600+J1596+J1595+J1594</f>
        <v>21353</v>
      </c>
      <c r="K1593" s="52">
        <f t="shared" si="461"/>
        <v>21353</v>
      </c>
      <c r="L1593" s="52">
        <f t="shared" si="461"/>
        <v>18625</v>
      </c>
      <c r="M1593" s="52">
        <f t="shared" si="461"/>
        <v>17634</v>
      </c>
      <c r="N1593" s="52">
        <v>0</v>
      </c>
      <c r="O1593" s="52">
        <f t="shared" si="461"/>
        <v>0</v>
      </c>
      <c r="P1593" s="52">
        <f t="shared" si="461"/>
        <v>0</v>
      </c>
      <c r="Q1593" s="52">
        <f t="shared" si="461"/>
        <v>578.88</v>
      </c>
      <c r="R1593" s="52">
        <f t="shared" si="461"/>
        <v>0</v>
      </c>
      <c r="T1593" s="52">
        <f t="shared" si="451"/>
        <v>24236</v>
      </c>
    </row>
    <row r="1594" spans="2:20" x14ac:dyDescent="0.25">
      <c r="B1594" s="97">
        <f t="shared" si="460"/>
        <v>806</v>
      </c>
      <c r="C1594" s="29"/>
      <c r="D1594" s="29"/>
      <c r="E1594" s="29"/>
      <c r="F1594" s="53" t="s">
        <v>562</v>
      </c>
      <c r="G1594" s="125">
        <v>610</v>
      </c>
      <c r="H1594" s="29" t="s">
        <v>338</v>
      </c>
      <c r="I1594" s="15">
        <f>14265+360</f>
        <v>14625</v>
      </c>
      <c r="J1594" s="15">
        <v>13458</v>
      </c>
      <c r="K1594" s="15">
        <v>13458</v>
      </c>
      <c r="L1594" s="15">
        <v>12413</v>
      </c>
      <c r="M1594" s="15">
        <v>11693</v>
      </c>
      <c r="N1594" s="15"/>
      <c r="O1594" s="15"/>
      <c r="P1594" s="15"/>
      <c r="Q1594" s="15"/>
      <c r="R1594" s="15"/>
      <c r="T1594" s="15">
        <f t="shared" si="451"/>
        <v>14625</v>
      </c>
    </row>
    <row r="1595" spans="2:20" x14ac:dyDescent="0.25">
      <c r="B1595" s="97">
        <f t="shared" si="460"/>
        <v>807</v>
      </c>
      <c r="C1595" s="29"/>
      <c r="D1595" s="29"/>
      <c r="E1595" s="29"/>
      <c r="F1595" s="53" t="s">
        <v>562</v>
      </c>
      <c r="G1595" s="125">
        <v>620</v>
      </c>
      <c r="H1595" s="29" t="s">
        <v>313</v>
      </c>
      <c r="I1595" s="15">
        <f>5300+126</f>
        <v>5426</v>
      </c>
      <c r="J1595" s="15">
        <v>5000</v>
      </c>
      <c r="K1595" s="15">
        <v>5000</v>
      </c>
      <c r="L1595" s="15">
        <v>4566</v>
      </c>
      <c r="M1595" s="15">
        <v>4297</v>
      </c>
      <c r="N1595" s="15"/>
      <c r="O1595" s="15"/>
      <c r="P1595" s="15"/>
      <c r="Q1595" s="15"/>
      <c r="R1595" s="15"/>
      <c r="T1595" s="15">
        <f t="shared" si="451"/>
        <v>5426</v>
      </c>
    </row>
    <row r="1596" spans="2:20" x14ac:dyDescent="0.25">
      <c r="B1596" s="97">
        <f t="shared" si="460"/>
        <v>808</v>
      </c>
      <c r="C1596" s="29"/>
      <c r="D1596" s="29"/>
      <c r="E1596" s="29"/>
      <c r="F1596" s="53" t="s">
        <v>562</v>
      </c>
      <c r="G1596" s="125">
        <v>630</v>
      </c>
      <c r="H1596" s="29" t="s">
        <v>303</v>
      </c>
      <c r="I1596" s="15">
        <f>I1597+I1598+I1599</f>
        <v>4185</v>
      </c>
      <c r="J1596" s="15">
        <f t="shared" ref="J1596:M1596" si="462">J1599+J1598+J1597</f>
        <v>2895</v>
      </c>
      <c r="K1596" s="15">
        <f t="shared" si="462"/>
        <v>2895</v>
      </c>
      <c r="L1596" s="15">
        <f t="shared" si="462"/>
        <v>1581</v>
      </c>
      <c r="M1596" s="15">
        <f t="shared" si="462"/>
        <v>1644</v>
      </c>
      <c r="N1596" s="15"/>
      <c r="O1596" s="15"/>
      <c r="P1596" s="15"/>
      <c r="Q1596" s="15"/>
      <c r="R1596" s="15"/>
      <c r="T1596" s="15">
        <f t="shared" si="451"/>
        <v>4185</v>
      </c>
    </row>
    <row r="1597" spans="2:20" x14ac:dyDescent="0.25">
      <c r="B1597" s="97">
        <f t="shared" si="460"/>
        <v>809</v>
      </c>
      <c r="C1597" s="9"/>
      <c r="D1597" s="9"/>
      <c r="E1597" s="9"/>
      <c r="F1597" s="54" t="s">
        <v>562</v>
      </c>
      <c r="G1597" s="126">
        <v>633</v>
      </c>
      <c r="H1597" s="9" t="s">
        <v>305</v>
      </c>
      <c r="I1597" s="10">
        <v>2310</v>
      </c>
      <c r="J1597" s="10">
        <v>1720</v>
      </c>
      <c r="K1597" s="10">
        <v>1720</v>
      </c>
      <c r="L1597" s="10">
        <v>951</v>
      </c>
      <c r="M1597" s="10">
        <v>605</v>
      </c>
      <c r="N1597" s="10"/>
      <c r="O1597" s="10"/>
      <c r="P1597" s="10"/>
      <c r="Q1597" s="10"/>
      <c r="R1597" s="10"/>
      <c r="T1597" s="10">
        <f t="shared" si="451"/>
        <v>2310</v>
      </c>
    </row>
    <row r="1598" spans="2:20" x14ac:dyDescent="0.25">
      <c r="B1598" s="97">
        <f t="shared" si="460"/>
        <v>810</v>
      </c>
      <c r="C1598" s="9"/>
      <c r="D1598" s="9"/>
      <c r="E1598" s="9"/>
      <c r="F1598" s="54" t="s">
        <v>562</v>
      </c>
      <c r="G1598" s="126">
        <v>635</v>
      </c>
      <c r="H1598" s="9" t="s">
        <v>320</v>
      </c>
      <c r="I1598" s="10">
        <v>1300</v>
      </c>
      <c r="J1598" s="10">
        <v>50</v>
      </c>
      <c r="K1598" s="10">
        <v>50</v>
      </c>
      <c r="L1598" s="10">
        <v>26</v>
      </c>
      <c r="M1598" s="10">
        <v>0</v>
      </c>
      <c r="N1598" s="10"/>
      <c r="O1598" s="10"/>
      <c r="P1598" s="10"/>
      <c r="Q1598" s="10"/>
      <c r="R1598" s="10"/>
      <c r="T1598" s="10">
        <f t="shared" si="451"/>
        <v>1300</v>
      </c>
    </row>
    <row r="1599" spans="2:20" x14ac:dyDescent="0.25">
      <c r="B1599" s="97">
        <f t="shared" ref="B1599:B1644" si="463">B1598+1</f>
        <v>811</v>
      </c>
      <c r="C1599" s="9"/>
      <c r="D1599" s="9"/>
      <c r="E1599" s="9"/>
      <c r="F1599" s="54" t="s">
        <v>562</v>
      </c>
      <c r="G1599" s="126">
        <v>637</v>
      </c>
      <c r="H1599" s="9" t="s">
        <v>308</v>
      </c>
      <c r="I1599" s="10">
        <v>575</v>
      </c>
      <c r="J1599" s="10">
        <v>1125</v>
      </c>
      <c r="K1599" s="10">
        <v>1125</v>
      </c>
      <c r="L1599" s="10">
        <v>604</v>
      </c>
      <c r="M1599" s="10">
        <v>1039</v>
      </c>
      <c r="N1599" s="10"/>
      <c r="O1599" s="10"/>
      <c r="P1599" s="10"/>
      <c r="Q1599" s="10"/>
      <c r="R1599" s="10"/>
      <c r="T1599" s="10">
        <f t="shared" si="451"/>
        <v>575</v>
      </c>
    </row>
    <row r="1600" spans="2:20" x14ac:dyDescent="0.25">
      <c r="B1600" s="97">
        <f t="shared" si="463"/>
        <v>812</v>
      </c>
      <c r="C1600" s="29"/>
      <c r="D1600" s="29"/>
      <c r="E1600" s="29"/>
      <c r="F1600" s="53" t="s">
        <v>562</v>
      </c>
      <c r="G1600" s="125">
        <v>640</v>
      </c>
      <c r="H1600" s="29" t="s">
        <v>315</v>
      </c>
      <c r="I1600" s="15">
        <v>0</v>
      </c>
      <c r="J1600" s="15">
        <v>0</v>
      </c>
      <c r="K1600" s="15">
        <v>0</v>
      </c>
      <c r="L1600" s="15">
        <v>65</v>
      </c>
      <c r="M1600" s="15">
        <v>0</v>
      </c>
      <c r="N1600" s="15"/>
      <c r="O1600" s="15"/>
      <c r="P1600" s="15"/>
      <c r="Q1600" s="15"/>
      <c r="R1600" s="15"/>
      <c r="T1600" s="15">
        <f t="shared" si="451"/>
        <v>0</v>
      </c>
    </row>
    <row r="1601" spans="2:20" x14ac:dyDescent="0.25">
      <c r="B1601" s="97">
        <f t="shared" si="463"/>
        <v>813</v>
      </c>
      <c r="C1601" s="29"/>
      <c r="D1601" s="29"/>
      <c r="E1601" s="29"/>
      <c r="F1601" s="53" t="s">
        <v>562</v>
      </c>
      <c r="G1601" s="125">
        <v>710</v>
      </c>
      <c r="H1601" s="29" t="s">
        <v>321</v>
      </c>
      <c r="I1601" s="15"/>
      <c r="J1601" s="15"/>
      <c r="K1601" s="15"/>
      <c r="L1601" s="15"/>
      <c r="M1601" s="15"/>
      <c r="N1601" s="15"/>
      <c r="O1601" s="15"/>
      <c r="P1601" s="15"/>
      <c r="Q1601" s="15">
        <f t="shared" ref="Q1601" si="464">Q1602</f>
        <v>578.88</v>
      </c>
      <c r="R1601" s="15"/>
      <c r="T1601" s="15">
        <f t="shared" si="451"/>
        <v>0</v>
      </c>
    </row>
    <row r="1602" spans="2:20" x14ac:dyDescent="0.25">
      <c r="B1602" s="97">
        <f t="shared" si="463"/>
        <v>814</v>
      </c>
      <c r="C1602" s="9"/>
      <c r="D1602" s="9"/>
      <c r="E1602" s="9"/>
      <c r="F1602" s="54" t="s">
        <v>562</v>
      </c>
      <c r="G1602" s="126">
        <v>713</v>
      </c>
      <c r="H1602" s="9" t="s">
        <v>360</v>
      </c>
      <c r="I1602" s="10"/>
      <c r="J1602" s="10"/>
      <c r="K1602" s="10"/>
      <c r="L1602" s="10"/>
      <c r="M1602" s="10"/>
      <c r="N1602" s="10"/>
      <c r="O1602" s="10"/>
      <c r="P1602" s="10"/>
      <c r="Q1602" s="10">
        <v>578.88</v>
      </c>
      <c r="R1602" s="10"/>
      <c r="T1602" s="10">
        <f t="shared" si="451"/>
        <v>0</v>
      </c>
    </row>
    <row r="1603" spans="2:20" x14ac:dyDescent="0.25">
      <c r="B1603" s="97">
        <f t="shared" si="463"/>
        <v>815</v>
      </c>
      <c r="C1603" s="51"/>
      <c r="D1603" s="51"/>
      <c r="E1603" s="51" t="s">
        <v>134</v>
      </c>
      <c r="F1603" s="51"/>
      <c r="G1603" s="124"/>
      <c r="H1603" s="51" t="s">
        <v>135</v>
      </c>
      <c r="I1603" s="52">
        <f>I1604+I1605+I1606+I1612+I1613</f>
        <v>48765</v>
      </c>
      <c r="J1603" s="52">
        <f t="shared" ref="J1603:R1603" si="465">J1613+J1612+J1606+J1605+J1604</f>
        <v>45709</v>
      </c>
      <c r="K1603" s="52">
        <f t="shared" si="465"/>
        <v>45709</v>
      </c>
      <c r="L1603" s="52">
        <f t="shared" si="465"/>
        <v>41622</v>
      </c>
      <c r="M1603" s="52">
        <f t="shared" si="465"/>
        <v>38097</v>
      </c>
      <c r="N1603" s="52">
        <v>0</v>
      </c>
      <c r="O1603" s="52">
        <f t="shared" si="465"/>
        <v>0</v>
      </c>
      <c r="P1603" s="52">
        <f t="shared" si="465"/>
        <v>0</v>
      </c>
      <c r="Q1603" s="52">
        <f t="shared" si="465"/>
        <v>13290</v>
      </c>
      <c r="R1603" s="52">
        <f t="shared" si="465"/>
        <v>0</v>
      </c>
      <c r="T1603" s="52">
        <f t="shared" si="451"/>
        <v>48765</v>
      </c>
    </row>
    <row r="1604" spans="2:20" x14ac:dyDescent="0.25">
      <c r="B1604" s="97">
        <f t="shared" si="463"/>
        <v>816</v>
      </c>
      <c r="C1604" s="29"/>
      <c r="D1604" s="29"/>
      <c r="E1604" s="29"/>
      <c r="F1604" s="53" t="s">
        <v>562</v>
      </c>
      <c r="G1604" s="125">
        <v>610</v>
      </c>
      <c r="H1604" s="29" t="s">
        <v>338</v>
      </c>
      <c r="I1604" s="15">
        <f>29337+1080</f>
        <v>30417</v>
      </c>
      <c r="J1604" s="15">
        <v>27677</v>
      </c>
      <c r="K1604" s="15">
        <v>27677</v>
      </c>
      <c r="L1604" s="15">
        <v>26143</v>
      </c>
      <c r="M1604" s="15">
        <v>23739</v>
      </c>
      <c r="N1604" s="15"/>
      <c r="O1604" s="15"/>
      <c r="P1604" s="15"/>
      <c r="Q1604" s="15"/>
      <c r="R1604" s="15"/>
      <c r="T1604" s="15">
        <f t="shared" si="451"/>
        <v>30417</v>
      </c>
    </row>
    <row r="1605" spans="2:20" x14ac:dyDescent="0.25">
      <c r="B1605" s="97">
        <f t="shared" si="463"/>
        <v>817</v>
      </c>
      <c r="C1605" s="29"/>
      <c r="D1605" s="29"/>
      <c r="E1605" s="29"/>
      <c r="F1605" s="53" t="s">
        <v>562</v>
      </c>
      <c r="G1605" s="125">
        <v>620</v>
      </c>
      <c r="H1605" s="29" t="s">
        <v>313</v>
      </c>
      <c r="I1605" s="15">
        <f>10890+378</f>
        <v>11268</v>
      </c>
      <c r="J1605" s="15">
        <v>10282</v>
      </c>
      <c r="K1605" s="15">
        <v>10282</v>
      </c>
      <c r="L1605" s="15">
        <v>10221</v>
      </c>
      <c r="M1605" s="15">
        <v>9283</v>
      </c>
      <c r="N1605" s="15"/>
      <c r="O1605" s="15"/>
      <c r="P1605" s="15"/>
      <c r="Q1605" s="15"/>
      <c r="R1605" s="15"/>
      <c r="T1605" s="15">
        <f t="shared" si="451"/>
        <v>11268</v>
      </c>
    </row>
    <row r="1606" spans="2:20" x14ac:dyDescent="0.25">
      <c r="B1606" s="97">
        <f t="shared" si="463"/>
        <v>818</v>
      </c>
      <c r="C1606" s="29"/>
      <c r="D1606" s="29"/>
      <c r="E1606" s="29"/>
      <c r="F1606" s="53" t="s">
        <v>562</v>
      </c>
      <c r="G1606" s="125">
        <v>630</v>
      </c>
      <c r="H1606" s="29" t="s">
        <v>303</v>
      </c>
      <c r="I1606" s="15">
        <f>I1607+I1608+I1609+I1610+I1611</f>
        <v>7080</v>
      </c>
      <c r="J1606" s="15">
        <f t="shared" ref="J1606:L1606" si="466">J1611+J1610+J1609+J1608+J1607</f>
        <v>7750</v>
      </c>
      <c r="K1606" s="15">
        <f t="shared" si="466"/>
        <v>7750</v>
      </c>
      <c r="L1606" s="15">
        <f t="shared" si="466"/>
        <v>5198</v>
      </c>
      <c r="M1606" s="15">
        <f>M1611+M1610+M1609+M1608+M1607</f>
        <v>4942</v>
      </c>
      <c r="N1606" s="15"/>
      <c r="O1606" s="15"/>
      <c r="P1606" s="15"/>
      <c r="Q1606" s="15"/>
      <c r="R1606" s="15"/>
      <c r="T1606" s="15">
        <f t="shared" si="451"/>
        <v>7080</v>
      </c>
    </row>
    <row r="1607" spans="2:20" x14ac:dyDescent="0.25">
      <c r="B1607" s="97">
        <f t="shared" si="463"/>
        <v>819</v>
      </c>
      <c r="C1607" s="29"/>
      <c r="D1607" s="29"/>
      <c r="E1607" s="29"/>
      <c r="F1607" s="54" t="s">
        <v>562</v>
      </c>
      <c r="G1607" s="126">
        <v>631</v>
      </c>
      <c r="H1607" s="9" t="s">
        <v>304</v>
      </c>
      <c r="I1607" s="16">
        <v>0</v>
      </c>
      <c r="J1607" s="15"/>
      <c r="K1607" s="15"/>
      <c r="L1607" s="15"/>
      <c r="M1607" s="16">
        <v>24</v>
      </c>
      <c r="N1607" s="15"/>
      <c r="O1607" s="15"/>
      <c r="P1607" s="15"/>
      <c r="Q1607" s="15"/>
      <c r="R1607" s="15"/>
      <c r="T1607" s="15">
        <f t="shared" si="451"/>
        <v>0</v>
      </c>
    </row>
    <row r="1608" spans="2:20" x14ac:dyDescent="0.25">
      <c r="B1608" s="97">
        <f t="shared" si="463"/>
        <v>820</v>
      </c>
      <c r="C1608" s="9"/>
      <c r="D1608" s="9"/>
      <c r="E1608" s="9"/>
      <c r="F1608" s="54" t="s">
        <v>562</v>
      </c>
      <c r="G1608" s="126">
        <v>632</v>
      </c>
      <c r="H1608" s="9" t="s">
        <v>314</v>
      </c>
      <c r="I1608" s="10">
        <v>610</v>
      </c>
      <c r="J1608" s="10">
        <v>580</v>
      </c>
      <c r="K1608" s="10">
        <v>580</v>
      </c>
      <c r="L1608" s="10">
        <v>592</v>
      </c>
      <c r="M1608" s="10">
        <v>537</v>
      </c>
      <c r="N1608" s="10"/>
      <c r="O1608" s="10"/>
      <c r="P1608" s="10"/>
      <c r="Q1608" s="10"/>
      <c r="R1608" s="10"/>
      <c r="T1608" s="10">
        <f t="shared" si="451"/>
        <v>610</v>
      </c>
    </row>
    <row r="1609" spans="2:20" x14ac:dyDescent="0.25">
      <c r="B1609" s="97">
        <f t="shared" si="463"/>
        <v>821</v>
      </c>
      <c r="C1609" s="9"/>
      <c r="D1609" s="9"/>
      <c r="E1609" s="9"/>
      <c r="F1609" s="54" t="s">
        <v>562</v>
      </c>
      <c r="G1609" s="126">
        <v>633</v>
      </c>
      <c r="H1609" s="9" t="s">
        <v>305</v>
      </c>
      <c r="I1609" s="10">
        <v>2400</v>
      </c>
      <c r="J1609" s="10">
        <v>4150</v>
      </c>
      <c r="K1609" s="10">
        <v>4150</v>
      </c>
      <c r="L1609" s="10">
        <v>2036</v>
      </c>
      <c r="M1609" s="10">
        <v>1539</v>
      </c>
      <c r="N1609" s="10"/>
      <c r="O1609" s="10"/>
      <c r="P1609" s="10"/>
      <c r="Q1609" s="10"/>
      <c r="R1609" s="10"/>
      <c r="T1609" s="10">
        <f t="shared" si="451"/>
        <v>2400</v>
      </c>
    </row>
    <row r="1610" spans="2:20" x14ac:dyDescent="0.25">
      <c r="B1610" s="97">
        <f t="shared" si="463"/>
        <v>822</v>
      </c>
      <c r="C1610" s="9"/>
      <c r="D1610" s="9"/>
      <c r="E1610" s="9"/>
      <c r="F1610" s="54" t="s">
        <v>562</v>
      </c>
      <c r="G1610" s="126">
        <v>635</v>
      </c>
      <c r="H1610" s="9" t="s">
        <v>320</v>
      </c>
      <c r="I1610" s="10">
        <v>1350</v>
      </c>
      <c r="J1610" s="10">
        <v>100</v>
      </c>
      <c r="K1610" s="10">
        <v>100</v>
      </c>
      <c r="L1610" s="10">
        <v>82</v>
      </c>
      <c r="M1610" s="10">
        <v>0</v>
      </c>
      <c r="N1610" s="10"/>
      <c r="O1610" s="10"/>
      <c r="P1610" s="10"/>
      <c r="Q1610" s="10"/>
      <c r="R1610" s="10"/>
      <c r="T1610" s="10">
        <f t="shared" si="451"/>
        <v>1350</v>
      </c>
    </row>
    <row r="1611" spans="2:20" x14ac:dyDescent="0.25">
      <c r="B1611" s="97">
        <f t="shared" si="463"/>
        <v>823</v>
      </c>
      <c r="C1611" s="9"/>
      <c r="D1611" s="9"/>
      <c r="E1611" s="9"/>
      <c r="F1611" s="54" t="s">
        <v>562</v>
      </c>
      <c r="G1611" s="126">
        <v>637</v>
      </c>
      <c r="H1611" s="9" t="s">
        <v>308</v>
      </c>
      <c r="I1611" s="10">
        <v>2720</v>
      </c>
      <c r="J1611" s="10">
        <v>2920</v>
      </c>
      <c r="K1611" s="10">
        <v>2920</v>
      </c>
      <c r="L1611" s="10">
        <v>2488</v>
      </c>
      <c r="M1611" s="10">
        <v>2842</v>
      </c>
      <c r="N1611" s="10"/>
      <c r="O1611" s="10"/>
      <c r="P1611" s="10"/>
      <c r="Q1611" s="10"/>
      <c r="R1611" s="10"/>
      <c r="T1611" s="10">
        <f t="shared" si="451"/>
        <v>2720</v>
      </c>
    </row>
    <row r="1612" spans="2:20" x14ac:dyDescent="0.25">
      <c r="B1612" s="97">
        <f t="shared" si="463"/>
        <v>824</v>
      </c>
      <c r="C1612" s="29"/>
      <c r="D1612" s="29"/>
      <c r="E1612" s="29"/>
      <c r="F1612" s="53" t="s">
        <v>562</v>
      </c>
      <c r="G1612" s="125">
        <v>640</v>
      </c>
      <c r="H1612" s="29" t="s">
        <v>315</v>
      </c>
      <c r="I1612" s="15">
        <v>0</v>
      </c>
      <c r="J1612" s="15">
        <v>0</v>
      </c>
      <c r="K1612" s="15">
        <v>0</v>
      </c>
      <c r="L1612" s="15">
        <v>60</v>
      </c>
      <c r="M1612" s="15">
        <v>133</v>
      </c>
      <c r="N1612" s="15"/>
      <c r="O1612" s="15"/>
      <c r="P1612" s="15"/>
      <c r="Q1612" s="15"/>
      <c r="R1612" s="15"/>
      <c r="T1612" s="15">
        <f t="shared" si="451"/>
        <v>0</v>
      </c>
    </row>
    <row r="1613" spans="2:20" x14ac:dyDescent="0.25">
      <c r="B1613" s="97">
        <f t="shared" si="463"/>
        <v>825</v>
      </c>
      <c r="C1613" s="29"/>
      <c r="D1613" s="29"/>
      <c r="E1613" s="29"/>
      <c r="F1613" s="53" t="s">
        <v>562</v>
      </c>
      <c r="G1613" s="125">
        <v>710</v>
      </c>
      <c r="H1613" s="29" t="s">
        <v>321</v>
      </c>
      <c r="I1613" s="15"/>
      <c r="J1613" s="15"/>
      <c r="K1613" s="15"/>
      <c r="L1613" s="15"/>
      <c r="M1613" s="15"/>
      <c r="N1613" s="15"/>
      <c r="O1613" s="15"/>
      <c r="P1613" s="15"/>
      <c r="Q1613" s="15">
        <f t="shared" ref="Q1613" si="467">Q1614</f>
        <v>13290</v>
      </c>
      <c r="R1613" s="15"/>
      <c r="T1613" s="15">
        <f t="shared" si="451"/>
        <v>0</v>
      </c>
    </row>
    <row r="1614" spans="2:20" x14ac:dyDescent="0.25">
      <c r="B1614" s="97">
        <f t="shared" si="463"/>
        <v>826</v>
      </c>
      <c r="C1614" s="9"/>
      <c r="D1614" s="9"/>
      <c r="E1614" s="9"/>
      <c r="F1614" s="54" t="s">
        <v>562</v>
      </c>
      <c r="G1614" s="126">
        <v>713</v>
      </c>
      <c r="H1614" s="9" t="s">
        <v>360</v>
      </c>
      <c r="I1614" s="10"/>
      <c r="J1614" s="10"/>
      <c r="K1614" s="10"/>
      <c r="L1614" s="10"/>
      <c r="M1614" s="10"/>
      <c r="N1614" s="10"/>
      <c r="O1614" s="10"/>
      <c r="P1614" s="10"/>
      <c r="Q1614" s="10">
        <v>13290</v>
      </c>
      <c r="R1614" s="10"/>
      <c r="T1614" s="10">
        <f t="shared" si="451"/>
        <v>0</v>
      </c>
    </row>
    <row r="1615" spans="2:20" x14ac:dyDescent="0.25">
      <c r="B1615" s="97">
        <f t="shared" si="463"/>
        <v>827</v>
      </c>
      <c r="C1615" s="49"/>
      <c r="D1615" s="49"/>
      <c r="E1615" s="49">
        <v>6</v>
      </c>
      <c r="F1615" s="49"/>
      <c r="G1615" s="123"/>
      <c r="H1615" s="49" t="s">
        <v>184</v>
      </c>
      <c r="I1615" s="50">
        <f>I1617+I1618+I1619+I1624+I1625+I1626+I1627+I1632</f>
        <v>75704</v>
      </c>
      <c r="J1615" s="50">
        <f t="shared" ref="J1615:M1615" si="468">J1617+J1618+J1619+J1624+J1625+J1626+J1627+J1632</f>
        <v>68669</v>
      </c>
      <c r="K1615" s="50">
        <f t="shared" si="468"/>
        <v>70383</v>
      </c>
      <c r="L1615" s="50">
        <f t="shared" si="468"/>
        <v>64761</v>
      </c>
      <c r="M1615" s="50">
        <f t="shared" si="468"/>
        <v>58470</v>
      </c>
      <c r="N1615" s="50">
        <v>0</v>
      </c>
      <c r="O1615" s="50">
        <v>0</v>
      </c>
      <c r="P1615" s="50">
        <f>P1633</f>
        <v>5600</v>
      </c>
      <c r="Q1615" s="50">
        <v>0</v>
      </c>
      <c r="R1615" s="50">
        <v>0</v>
      </c>
      <c r="T1615" s="50">
        <f t="shared" si="451"/>
        <v>75704</v>
      </c>
    </row>
    <row r="1616" spans="2:20" hidden="1" x14ac:dyDescent="0.25">
      <c r="B1616" s="97">
        <f t="shared" si="463"/>
        <v>828</v>
      </c>
      <c r="C1616" s="51"/>
      <c r="D1616" s="51"/>
      <c r="E1616" s="51" t="s">
        <v>60</v>
      </c>
      <c r="F1616" s="51"/>
      <c r="G1616" s="124"/>
      <c r="H1616" s="51"/>
      <c r="I1616" s="52" t="e">
        <f>#REF!+#REF!</f>
        <v>#REF!</v>
      </c>
      <c r="J1616" s="52" t="e">
        <f>#REF!+#REF!+J1632+J1627+J1626+J1625+J1624+J1619+J1618+J1617</f>
        <v>#REF!</v>
      </c>
      <c r="K1616" s="52" t="e">
        <f>#REF!+#REF!+K1632+K1627+K1626+K1625+K1624+K1619+K1618+K1617</f>
        <v>#REF!</v>
      </c>
      <c r="L1616" s="52" t="e">
        <f>#REF!+#REF!+L1632+L1627+L1626+L1625+L1624+L1619+L1618+L1617</f>
        <v>#REF!</v>
      </c>
      <c r="M1616" s="52" t="e">
        <f>#REF!+#REF!+M1632+M1627+M1626+M1625+M1624+M1619+M1618+M1617</f>
        <v>#REF!</v>
      </c>
      <c r="N1616" s="52"/>
      <c r="O1616" s="52" t="e">
        <f>#REF!+#REF!+O1632+O1627+O1626+O1625+O1624+O1619+O1618+O1617</f>
        <v>#REF!</v>
      </c>
      <c r="P1616" s="52" t="e">
        <f>#REF!+#REF!+P1632+P1627+P1626+P1625+P1624+P1619+P1618+P1617</f>
        <v>#REF!</v>
      </c>
      <c r="Q1616" s="52" t="e">
        <f>#REF!+#REF!+Q1632+Q1627+Q1626+Q1625+Q1624+Q1619+Q1618+Q1617</f>
        <v>#REF!</v>
      </c>
      <c r="R1616" s="52" t="e">
        <f>#REF!+#REF!+R1632+R1627+R1626+R1625+R1624+R1619+R1618+R1617</f>
        <v>#REF!</v>
      </c>
      <c r="T1616" s="52" t="e">
        <f t="shared" si="451"/>
        <v>#REF!</v>
      </c>
    </row>
    <row r="1617" spans="2:20" x14ac:dyDescent="0.25">
      <c r="B1617" s="97">
        <f t="shared" si="463"/>
        <v>829</v>
      </c>
      <c r="C1617" s="29"/>
      <c r="D1617" s="29"/>
      <c r="E1617" s="29"/>
      <c r="F1617" s="53" t="s">
        <v>554</v>
      </c>
      <c r="G1617" s="125">
        <v>610</v>
      </c>
      <c r="H1617" s="29" t="s">
        <v>338</v>
      </c>
      <c r="I1617" s="15">
        <f>21445+1080</f>
        <v>22525</v>
      </c>
      <c r="J1617" s="15">
        <v>20231</v>
      </c>
      <c r="K1617" s="15">
        <v>20231</v>
      </c>
      <c r="L1617" s="15">
        <v>19970</v>
      </c>
      <c r="M1617" s="15">
        <v>34137</v>
      </c>
      <c r="N1617" s="15"/>
      <c r="O1617" s="15"/>
      <c r="P1617" s="15"/>
      <c r="Q1617" s="15"/>
      <c r="R1617" s="15"/>
      <c r="T1617" s="15">
        <f t="shared" si="451"/>
        <v>22525</v>
      </c>
    </row>
    <row r="1618" spans="2:20" x14ac:dyDescent="0.25">
      <c r="B1618" s="97">
        <f t="shared" si="463"/>
        <v>830</v>
      </c>
      <c r="C1618" s="29"/>
      <c r="D1618" s="29"/>
      <c r="E1618" s="29"/>
      <c r="F1618" s="53" t="s">
        <v>554</v>
      </c>
      <c r="G1618" s="125">
        <v>620</v>
      </c>
      <c r="H1618" s="29" t="s">
        <v>313</v>
      </c>
      <c r="I1618" s="15">
        <f>8073+378</f>
        <v>8451</v>
      </c>
      <c r="J1618" s="15">
        <v>7616</v>
      </c>
      <c r="K1618" s="15">
        <v>7616</v>
      </c>
      <c r="L1618" s="15">
        <v>5938</v>
      </c>
      <c r="M1618" s="15">
        <v>11580</v>
      </c>
      <c r="N1618" s="15"/>
      <c r="O1618" s="15"/>
      <c r="P1618" s="15"/>
      <c r="Q1618" s="15"/>
      <c r="R1618" s="15"/>
      <c r="T1618" s="15">
        <f t="shared" si="451"/>
        <v>8451</v>
      </c>
    </row>
    <row r="1619" spans="2:20" x14ac:dyDescent="0.25">
      <c r="B1619" s="97">
        <f t="shared" si="463"/>
        <v>831</v>
      </c>
      <c r="C1619" s="29"/>
      <c r="D1619" s="29"/>
      <c r="E1619" s="29"/>
      <c r="F1619" s="53" t="s">
        <v>554</v>
      </c>
      <c r="G1619" s="125">
        <v>630</v>
      </c>
      <c r="H1619" s="29" t="s">
        <v>303</v>
      </c>
      <c r="I1619" s="15">
        <f>I1620+I1621+I1622+I1623</f>
        <v>6763</v>
      </c>
      <c r="J1619" s="15">
        <f t="shared" ref="J1619:M1619" si="469">J1623+J1622+J1621+J1620</f>
        <v>6380</v>
      </c>
      <c r="K1619" s="15">
        <f t="shared" si="469"/>
        <v>6380</v>
      </c>
      <c r="L1619" s="15">
        <f t="shared" si="469"/>
        <v>6255</v>
      </c>
      <c r="M1619" s="15">
        <f t="shared" si="469"/>
        <v>12510</v>
      </c>
      <c r="N1619" s="15"/>
      <c r="O1619" s="15"/>
      <c r="P1619" s="15"/>
      <c r="Q1619" s="15"/>
      <c r="R1619" s="15"/>
      <c r="T1619" s="15">
        <f t="shared" si="451"/>
        <v>6763</v>
      </c>
    </row>
    <row r="1620" spans="2:20" x14ac:dyDescent="0.25">
      <c r="B1620" s="97">
        <f t="shared" si="463"/>
        <v>832</v>
      </c>
      <c r="C1620" s="9"/>
      <c r="D1620" s="9"/>
      <c r="E1620" s="9"/>
      <c r="F1620" s="54" t="s">
        <v>554</v>
      </c>
      <c r="G1620" s="126">
        <v>632</v>
      </c>
      <c r="H1620" s="9" t="s">
        <v>314</v>
      </c>
      <c r="I1620" s="10">
        <v>4806</v>
      </c>
      <c r="J1620" s="10">
        <v>4534</v>
      </c>
      <c r="K1620" s="10">
        <v>4534</v>
      </c>
      <c r="L1620" s="10">
        <v>3885</v>
      </c>
      <c r="M1620" s="10">
        <v>7770</v>
      </c>
      <c r="N1620" s="10"/>
      <c r="O1620" s="10"/>
      <c r="P1620" s="10"/>
      <c r="Q1620" s="10"/>
      <c r="R1620" s="10"/>
      <c r="T1620" s="10">
        <f t="shared" si="451"/>
        <v>4806</v>
      </c>
    </row>
    <row r="1621" spans="2:20" x14ac:dyDescent="0.25">
      <c r="B1621" s="97">
        <f t="shared" si="463"/>
        <v>833</v>
      </c>
      <c r="C1621" s="9"/>
      <c r="D1621" s="9"/>
      <c r="E1621" s="9"/>
      <c r="F1621" s="54" t="s">
        <v>554</v>
      </c>
      <c r="G1621" s="126">
        <v>633</v>
      </c>
      <c r="H1621" s="9" t="s">
        <v>305</v>
      </c>
      <c r="I1621" s="10">
        <v>541</v>
      </c>
      <c r="J1621" s="10">
        <v>510</v>
      </c>
      <c r="K1621" s="10">
        <v>510</v>
      </c>
      <c r="L1621" s="10">
        <v>680</v>
      </c>
      <c r="M1621" s="10">
        <v>1120</v>
      </c>
      <c r="N1621" s="10"/>
      <c r="O1621" s="10"/>
      <c r="P1621" s="10"/>
      <c r="Q1621" s="10"/>
      <c r="R1621" s="10"/>
      <c r="T1621" s="10">
        <f t="shared" si="451"/>
        <v>541</v>
      </c>
    </row>
    <row r="1622" spans="2:20" x14ac:dyDescent="0.25">
      <c r="B1622" s="97">
        <f t="shared" si="463"/>
        <v>834</v>
      </c>
      <c r="C1622" s="9"/>
      <c r="D1622" s="9"/>
      <c r="E1622" s="9"/>
      <c r="F1622" s="54" t="s">
        <v>554</v>
      </c>
      <c r="G1622" s="126">
        <v>635</v>
      </c>
      <c r="H1622" s="9" t="s">
        <v>320</v>
      </c>
      <c r="I1622" s="10">
        <v>216</v>
      </c>
      <c r="J1622" s="10">
        <v>204</v>
      </c>
      <c r="K1622" s="10">
        <v>204</v>
      </c>
      <c r="L1622" s="10">
        <v>200</v>
      </c>
      <c r="M1622" s="10">
        <v>700</v>
      </c>
      <c r="N1622" s="10"/>
      <c r="O1622" s="10"/>
      <c r="P1622" s="10"/>
      <c r="Q1622" s="10"/>
      <c r="R1622" s="10"/>
      <c r="T1622" s="10">
        <f t="shared" si="451"/>
        <v>216</v>
      </c>
    </row>
    <row r="1623" spans="2:20" x14ac:dyDescent="0.25">
      <c r="B1623" s="97">
        <f t="shared" si="463"/>
        <v>835</v>
      </c>
      <c r="C1623" s="9"/>
      <c r="D1623" s="9"/>
      <c r="E1623" s="9"/>
      <c r="F1623" s="54" t="s">
        <v>554</v>
      </c>
      <c r="G1623" s="126">
        <v>637</v>
      </c>
      <c r="H1623" s="9" t="s">
        <v>308</v>
      </c>
      <c r="I1623" s="10">
        <v>1200</v>
      </c>
      <c r="J1623" s="10">
        <v>1132</v>
      </c>
      <c r="K1623" s="10">
        <v>1132</v>
      </c>
      <c r="L1623" s="10">
        <v>1490</v>
      </c>
      <c r="M1623" s="10">
        <v>2920</v>
      </c>
      <c r="N1623" s="10"/>
      <c r="O1623" s="10"/>
      <c r="P1623" s="10"/>
      <c r="Q1623" s="10"/>
      <c r="R1623" s="10"/>
      <c r="T1623" s="10">
        <f t="shared" si="451"/>
        <v>1200</v>
      </c>
    </row>
    <row r="1624" spans="2:20" x14ac:dyDescent="0.25">
      <c r="B1624" s="97">
        <f t="shared" si="463"/>
        <v>836</v>
      </c>
      <c r="C1624" s="29"/>
      <c r="D1624" s="29"/>
      <c r="E1624" s="29"/>
      <c r="F1624" s="53" t="s">
        <v>554</v>
      </c>
      <c r="G1624" s="125">
        <v>640</v>
      </c>
      <c r="H1624" s="29" t="s">
        <v>315</v>
      </c>
      <c r="I1624" s="15">
        <v>113</v>
      </c>
      <c r="J1624" s="15">
        <v>107</v>
      </c>
      <c r="K1624" s="15">
        <v>107</v>
      </c>
      <c r="L1624" s="15">
        <v>217</v>
      </c>
      <c r="M1624" s="15">
        <v>243</v>
      </c>
      <c r="N1624" s="15"/>
      <c r="O1624" s="15"/>
      <c r="P1624" s="15"/>
      <c r="Q1624" s="15"/>
      <c r="R1624" s="15"/>
      <c r="T1624" s="15">
        <f t="shared" si="451"/>
        <v>113</v>
      </c>
    </row>
    <row r="1625" spans="2:20" x14ac:dyDescent="0.25">
      <c r="B1625" s="97">
        <f t="shared" si="463"/>
        <v>837</v>
      </c>
      <c r="C1625" s="29"/>
      <c r="D1625" s="29"/>
      <c r="E1625" s="29"/>
      <c r="F1625" s="53" t="s">
        <v>550</v>
      </c>
      <c r="G1625" s="125">
        <v>610</v>
      </c>
      <c r="H1625" s="29" t="s">
        <v>338</v>
      </c>
      <c r="I1625" s="15">
        <f>21446+1080</f>
        <v>22526</v>
      </c>
      <c r="J1625" s="15">
        <v>20232</v>
      </c>
      <c r="K1625" s="15">
        <v>20232</v>
      </c>
      <c r="L1625" s="15">
        <v>19845</v>
      </c>
      <c r="M1625" s="15">
        <v>0</v>
      </c>
      <c r="N1625" s="15"/>
      <c r="O1625" s="15"/>
      <c r="P1625" s="15"/>
      <c r="Q1625" s="15"/>
      <c r="R1625" s="15"/>
      <c r="T1625" s="15">
        <f t="shared" ref="T1625:T1688" si="470">I1625+N1625</f>
        <v>22526</v>
      </c>
    </row>
    <row r="1626" spans="2:20" x14ac:dyDescent="0.25">
      <c r="B1626" s="97">
        <f t="shared" si="463"/>
        <v>838</v>
      </c>
      <c r="C1626" s="29"/>
      <c r="D1626" s="29"/>
      <c r="E1626" s="29"/>
      <c r="F1626" s="53" t="s">
        <v>550</v>
      </c>
      <c r="G1626" s="125">
        <v>620</v>
      </c>
      <c r="H1626" s="29" t="s">
        <v>313</v>
      </c>
      <c r="I1626" s="15">
        <f>8073+377</f>
        <v>8450</v>
      </c>
      <c r="J1626" s="15">
        <v>7616</v>
      </c>
      <c r="K1626" s="15">
        <v>7616</v>
      </c>
      <c r="L1626" s="15">
        <v>5608</v>
      </c>
      <c r="M1626" s="15">
        <v>0</v>
      </c>
      <c r="N1626" s="15"/>
      <c r="O1626" s="15"/>
      <c r="P1626" s="15"/>
      <c r="Q1626" s="15"/>
      <c r="R1626" s="15"/>
      <c r="T1626" s="15">
        <f t="shared" si="470"/>
        <v>8450</v>
      </c>
    </row>
    <row r="1627" spans="2:20" x14ac:dyDescent="0.25">
      <c r="B1627" s="97">
        <f t="shared" si="463"/>
        <v>839</v>
      </c>
      <c r="C1627" s="29"/>
      <c r="D1627" s="29"/>
      <c r="E1627" s="29"/>
      <c r="F1627" s="53" t="s">
        <v>550</v>
      </c>
      <c r="G1627" s="125">
        <v>630</v>
      </c>
      <c r="H1627" s="29" t="s">
        <v>303</v>
      </c>
      <c r="I1627" s="15">
        <f>I1628+I1629+I1630+I1631</f>
        <v>6763</v>
      </c>
      <c r="J1627" s="15">
        <f t="shared" ref="J1627:M1627" si="471">J1631+J1630+J1629+J1628</f>
        <v>6380</v>
      </c>
      <c r="K1627" s="15">
        <f t="shared" si="471"/>
        <v>7275</v>
      </c>
      <c r="L1627" s="15">
        <f t="shared" si="471"/>
        <v>6655</v>
      </c>
      <c r="M1627" s="15">
        <f t="shared" si="471"/>
        <v>0</v>
      </c>
      <c r="N1627" s="15"/>
      <c r="O1627" s="15"/>
      <c r="P1627" s="15"/>
      <c r="Q1627" s="15"/>
      <c r="R1627" s="15"/>
      <c r="T1627" s="15">
        <f t="shared" si="470"/>
        <v>6763</v>
      </c>
    </row>
    <row r="1628" spans="2:20" x14ac:dyDescent="0.25">
      <c r="B1628" s="97">
        <f t="shared" si="463"/>
        <v>840</v>
      </c>
      <c r="C1628" s="9"/>
      <c r="D1628" s="9"/>
      <c r="E1628" s="9"/>
      <c r="F1628" s="54" t="s">
        <v>550</v>
      </c>
      <c r="G1628" s="126">
        <v>632</v>
      </c>
      <c r="H1628" s="9" t="s">
        <v>314</v>
      </c>
      <c r="I1628" s="10">
        <v>4806</v>
      </c>
      <c r="J1628" s="10">
        <v>4534</v>
      </c>
      <c r="K1628" s="10">
        <v>4534</v>
      </c>
      <c r="L1628" s="10">
        <v>4285</v>
      </c>
      <c r="M1628" s="10">
        <v>0</v>
      </c>
      <c r="N1628" s="10"/>
      <c r="O1628" s="10"/>
      <c r="P1628" s="10"/>
      <c r="Q1628" s="10"/>
      <c r="R1628" s="10"/>
      <c r="T1628" s="10">
        <f t="shared" si="470"/>
        <v>4806</v>
      </c>
    </row>
    <row r="1629" spans="2:20" x14ac:dyDescent="0.25">
      <c r="B1629" s="97">
        <f t="shared" si="463"/>
        <v>841</v>
      </c>
      <c r="C1629" s="9"/>
      <c r="D1629" s="9"/>
      <c r="E1629" s="9"/>
      <c r="F1629" s="54" t="s">
        <v>550</v>
      </c>
      <c r="G1629" s="126">
        <v>633</v>
      </c>
      <c r="H1629" s="9" t="s">
        <v>305</v>
      </c>
      <c r="I1629" s="10">
        <v>541</v>
      </c>
      <c r="J1629" s="10">
        <v>510</v>
      </c>
      <c r="K1629" s="10">
        <v>1160</v>
      </c>
      <c r="L1629" s="10">
        <v>680</v>
      </c>
      <c r="M1629" s="10">
        <v>0</v>
      </c>
      <c r="N1629" s="10"/>
      <c r="O1629" s="10"/>
      <c r="P1629" s="10"/>
      <c r="Q1629" s="10"/>
      <c r="R1629" s="10"/>
      <c r="T1629" s="10">
        <f t="shared" si="470"/>
        <v>541</v>
      </c>
    </row>
    <row r="1630" spans="2:20" x14ac:dyDescent="0.25">
      <c r="B1630" s="97">
        <f t="shared" si="463"/>
        <v>842</v>
      </c>
      <c r="C1630" s="9"/>
      <c r="D1630" s="9"/>
      <c r="E1630" s="9"/>
      <c r="F1630" s="54" t="s">
        <v>550</v>
      </c>
      <c r="G1630" s="126">
        <v>635</v>
      </c>
      <c r="H1630" s="9" t="s">
        <v>320</v>
      </c>
      <c r="I1630" s="10">
        <v>216</v>
      </c>
      <c r="J1630" s="10">
        <v>204</v>
      </c>
      <c r="K1630" s="10">
        <v>449</v>
      </c>
      <c r="L1630" s="10">
        <v>200</v>
      </c>
      <c r="M1630" s="10">
        <v>0</v>
      </c>
      <c r="N1630" s="10"/>
      <c r="O1630" s="10"/>
      <c r="P1630" s="10"/>
      <c r="Q1630" s="10"/>
      <c r="R1630" s="10"/>
      <c r="T1630" s="10">
        <f t="shared" si="470"/>
        <v>216</v>
      </c>
    </row>
    <row r="1631" spans="2:20" x14ac:dyDescent="0.25">
      <c r="B1631" s="97">
        <f t="shared" si="463"/>
        <v>843</v>
      </c>
      <c r="C1631" s="9"/>
      <c r="D1631" s="9"/>
      <c r="E1631" s="9"/>
      <c r="F1631" s="54" t="s">
        <v>550</v>
      </c>
      <c r="G1631" s="126">
        <v>637</v>
      </c>
      <c r="H1631" s="9" t="s">
        <v>308</v>
      </c>
      <c r="I1631" s="10">
        <v>1200</v>
      </c>
      <c r="J1631" s="10">
        <v>1132</v>
      </c>
      <c r="K1631" s="10">
        <v>1132</v>
      </c>
      <c r="L1631" s="10">
        <v>1490</v>
      </c>
      <c r="M1631" s="10">
        <v>0</v>
      </c>
      <c r="N1631" s="10"/>
      <c r="O1631" s="10"/>
      <c r="P1631" s="10"/>
      <c r="Q1631" s="10"/>
      <c r="R1631" s="10"/>
      <c r="T1631" s="10">
        <f t="shared" si="470"/>
        <v>1200</v>
      </c>
    </row>
    <row r="1632" spans="2:20" x14ac:dyDescent="0.25">
      <c r="B1632" s="97">
        <f t="shared" si="463"/>
        <v>844</v>
      </c>
      <c r="C1632" s="29"/>
      <c r="D1632" s="29"/>
      <c r="E1632" s="29"/>
      <c r="F1632" s="53" t="s">
        <v>550</v>
      </c>
      <c r="G1632" s="125">
        <v>640</v>
      </c>
      <c r="H1632" s="29" t="s">
        <v>315</v>
      </c>
      <c r="I1632" s="15">
        <v>113</v>
      </c>
      <c r="J1632" s="15">
        <v>107</v>
      </c>
      <c r="K1632" s="15">
        <v>926</v>
      </c>
      <c r="L1632" s="15">
        <v>273</v>
      </c>
      <c r="M1632" s="15">
        <v>0</v>
      </c>
      <c r="N1632" s="15"/>
      <c r="O1632" s="15"/>
      <c r="P1632" s="15"/>
      <c r="Q1632" s="15"/>
      <c r="R1632" s="15"/>
      <c r="T1632" s="15">
        <f t="shared" si="470"/>
        <v>113</v>
      </c>
    </row>
    <row r="1633" spans="2:20" x14ac:dyDescent="0.25">
      <c r="B1633" s="97"/>
      <c r="C1633" s="29"/>
      <c r="D1633" s="29"/>
      <c r="E1633" s="29"/>
      <c r="F1633" s="53" t="s">
        <v>550</v>
      </c>
      <c r="G1633" s="125">
        <v>710</v>
      </c>
      <c r="H1633" s="29" t="s">
        <v>321</v>
      </c>
      <c r="I1633" s="15"/>
      <c r="J1633" s="15"/>
      <c r="K1633" s="15"/>
      <c r="L1633" s="15"/>
      <c r="M1633" s="15"/>
      <c r="N1633" s="15"/>
      <c r="O1633" s="15"/>
      <c r="P1633" s="15">
        <f>P1634</f>
        <v>5600</v>
      </c>
      <c r="Q1633" s="15"/>
      <c r="R1633" s="15"/>
      <c r="T1633" s="15">
        <f t="shared" si="470"/>
        <v>0</v>
      </c>
    </row>
    <row r="1634" spans="2:20" x14ac:dyDescent="0.25">
      <c r="B1634" s="97"/>
      <c r="C1634" s="29"/>
      <c r="D1634" s="29"/>
      <c r="E1634" s="29"/>
      <c r="F1634" s="54" t="s">
        <v>550</v>
      </c>
      <c r="G1634" s="126">
        <v>713</v>
      </c>
      <c r="H1634" s="9" t="s">
        <v>360</v>
      </c>
      <c r="I1634" s="15"/>
      <c r="J1634" s="15"/>
      <c r="K1634" s="15"/>
      <c r="L1634" s="15"/>
      <c r="M1634" s="15"/>
      <c r="N1634" s="15"/>
      <c r="O1634" s="15"/>
      <c r="P1634" s="16">
        <v>5600</v>
      </c>
      <c r="Q1634" s="15"/>
      <c r="R1634" s="15"/>
      <c r="T1634" s="15">
        <f t="shared" si="470"/>
        <v>0</v>
      </c>
    </row>
    <row r="1635" spans="2:20" x14ac:dyDescent="0.25">
      <c r="B1635" s="97">
        <f>B1632+1</f>
        <v>845</v>
      </c>
      <c r="C1635" s="49"/>
      <c r="D1635" s="49"/>
      <c r="E1635" s="49">
        <v>7</v>
      </c>
      <c r="F1635" s="49"/>
      <c r="G1635" s="123"/>
      <c r="H1635" s="49" t="s">
        <v>185</v>
      </c>
      <c r="I1635" s="50">
        <f>I1637+I1638+I1639+I1644+I1645+I1646+I1647+I1652</f>
        <v>102033</v>
      </c>
      <c r="J1635" s="50">
        <f t="shared" ref="J1635:R1635" si="472">J1636</f>
        <v>92856</v>
      </c>
      <c r="K1635" s="50">
        <f t="shared" si="472"/>
        <v>93601</v>
      </c>
      <c r="L1635" s="50">
        <f t="shared" si="472"/>
        <v>79246</v>
      </c>
      <c r="M1635" s="50">
        <f t="shared" si="472"/>
        <v>68612</v>
      </c>
      <c r="N1635" s="50">
        <v>0</v>
      </c>
      <c r="O1635" s="50">
        <f t="shared" si="472"/>
        <v>0</v>
      </c>
      <c r="P1635" s="50">
        <f t="shared" si="472"/>
        <v>0</v>
      </c>
      <c r="Q1635" s="50">
        <f t="shared" si="472"/>
        <v>0</v>
      </c>
      <c r="R1635" s="50">
        <f t="shared" si="472"/>
        <v>0</v>
      </c>
      <c r="T1635" s="50">
        <f t="shared" si="470"/>
        <v>102033</v>
      </c>
    </row>
    <row r="1636" spans="2:20" hidden="1" x14ac:dyDescent="0.25">
      <c r="B1636" s="97">
        <f t="shared" si="463"/>
        <v>846</v>
      </c>
      <c r="C1636" s="51"/>
      <c r="D1636" s="51"/>
      <c r="E1636" s="51" t="s">
        <v>60</v>
      </c>
      <c r="F1636" s="51"/>
      <c r="G1636" s="124"/>
      <c r="H1636" s="51"/>
      <c r="I1636" s="52" t="e">
        <f>#REF!+#REF!</f>
        <v>#REF!</v>
      </c>
      <c r="J1636" s="52">
        <f t="shared" ref="J1636:R1636" si="473">J1652+J1647+J1646+J1645+J1644+J1639+J1638+J1637</f>
        <v>92856</v>
      </c>
      <c r="K1636" s="52">
        <f t="shared" si="473"/>
        <v>93601</v>
      </c>
      <c r="L1636" s="52">
        <f t="shared" si="473"/>
        <v>79246</v>
      </c>
      <c r="M1636" s="52">
        <f t="shared" si="473"/>
        <v>68612</v>
      </c>
      <c r="N1636" s="52"/>
      <c r="O1636" s="52">
        <f t="shared" si="473"/>
        <v>0</v>
      </c>
      <c r="P1636" s="52">
        <f t="shared" si="473"/>
        <v>0</v>
      </c>
      <c r="Q1636" s="52">
        <f t="shared" si="473"/>
        <v>0</v>
      </c>
      <c r="R1636" s="52">
        <f t="shared" si="473"/>
        <v>0</v>
      </c>
      <c r="T1636" s="52" t="e">
        <f t="shared" si="470"/>
        <v>#REF!</v>
      </c>
    </row>
    <row r="1637" spans="2:20" x14ac:dyDescent="0.25">
      <c r="B1637" s="97">
        <f t="shared" si="463"/>
        <v>847</v>
      </c>
      <c r="C1637" s="29"/>
      <c r="D1637" s="29"/>
      <c r="E1637" s="29"/>
      <c r="F1637" s="53" t="s">
        <v>554</v>
      </c>
      <c r="G1637" s="125">
        <v>610</v>
      </c>
      <c r="H1637" s="29" t="s">
        <v>338</v>
      </c>
      <c r="I1637" s="15">
        <f>26478+1080</f>
        <v>27558</v>
      </c>
      <c r="J1637" s="15">
        <v>24979</v>
      </c>
      <c r="K1637" s="15">
        <v>24979</v>
      </c>
      <c r="L1637" s="15">
        <v>20102</v>
      </c>
      <c r="M1637" s="15">
        <v>44292</v>
      </c>
      <c r="N1637" s="15"/>
      <c r="O1637" s="15"/>
      <c r="P1637" s="15"/>
      <c r="Q1637" s="15"/>
      <c r="R1637" s="15"/>
      <c r="T1637" s="15">
        <f t="shared" si="470"/>
        <v>27558</v>
      </c>
    </row>
    <row r="1638" spans="2:20" x14ac:dyDescent="0.25">
      <c r="B1638" s="97">
        <f t="shared" si="463"/>
        <v>848</v>
      </c>
      <c r="C1638" s="29"/>
      <c r="D1638" s="29"/>
      <c r="E1638" s="29"/>
      <c r="F1638" s="53" t="s">
        <v>554</v>
      </c>
      <c r="G1638" s="125">
        <v>620</v>
      </c>
      <c r="H1638" s="29" t="s">
        <v>313</v>
      </c>
      <c r="I1638" s="15">
        <f>9756+380</f>
        <v>10136</v>
      </c>
      <c r="J1638" s="15">
        <v>9204</v>
      </c>
      <c r="K1638" s="15">
        <v>9204</v>
      </c>
      <c r="L1638" s="15">
        <v>7460</v>
      </c>
      <c r="M1638" s="15">
        <v>16905</v>
      </c>
      <c r="N1638" s="15"/>
      <c r="O1638" s="15"/>
      <c r="P1638" s="15"/>
      <c r="Q1638" s="15"/>
      <c r="R1638" s="15"/>
      <c r="T1638" s="15">
        <f t="shared" si="470"/>
        <v>10136</v>
      </c>
    </row>
    <row r="1639" spans="2:20" x14ac:dyDescent="0.25">
      <c r="B1639" s="97">
        <f t="shared" si="463"/>
        <v>849</v>
      </c>
      <c r="C1639" s="29"/>
      <c r="D1639" s="29"/>
      <c r="E1639" s="29"/>
      <c r="F1639" s="53" t="s">
        <v>554</v>
      </c>
      <c r="G1639" s="125">
        <v>630</v>
      </c>
      <c r="H1639" s="29" t="s">
        <v>303</v>
      </c>
      <c r="I1639" s="15">
        <f>I1640+I1641+I1642+I1643</f>
        <v>5041</v>
      </c>
      <c r="J1639" s="15">
        <f t="shared" ref="J1639:M1639" si="474">J1643+J1642+J1641+J1640</f>
        <v>4756</v>
      </c>
      <c r="K1639" s="15">
        <f t="shared" si="474"/>
        <v>4756</v>
      </c>
      <c r="L1639" s="15">
        <f t="shared" si="474"/>
        <v>4730</v>
      </c>
      <c r="M1639" s="15">
        <f t="shared" si="474"/>
        <v>6915</v>
      </c>
      <c r="N1639" s="15"/>
      <c r="O1639" s="15"/>
      <c r="P1639" s="15"/>
      <c r="Q1639" s="15"/>
      <c r="R1639" s="15"/>
      <c r="T1639" s="15">
        <f t="shared" si="470"/>
        <v>5041</v>
      </c>
    </row>
    <row r="1640" spans="2:20" x14ac:dyDescent="0.25">
      <c r="B1640" s="97">
        <f t="shared" si="463"/>
        <v>850</v>
      </c>
      <c r="C1640" s="9"/>
      <c r="D1640" s="9"/>
      <c r="E1640" s="9"/>
      <c r="F1640" s="54" t="s">
        <v>554</v>
      </c>
      <c r="G1640" s="126">
        <v>632</v>
      </c>
      <c r="H1640" s="9" t="s">
        <v>314</v>
      </c>
      <c r="I1640" s="10">
        <v>1290</v>
      </c>
      <c r="J1640" s="10">
        <v>1290</v>
      </c>
      <c r="K1640" s="10">
        <v>1290</v>
      </c>
      <c r="L1640" s="10">
        <v>1290</v>
      </c>
      <c r="M1640" s="10">
        <v>2915</v>
      </c>
      <c r="N1640" s="10"/>
      <c r="O1640" s="10"/>
      <c r="P1640" s="10"/>
      <c r="Q1640" s="10"/>
      <c r="R1640" s="10"/>
      <c r="T1640" s="10">
        <f t="shared" si="470"/>
        <v>1290</v>
      </c>
    </row>
    <row r="1641" spans="2:20" x14ac:dyDescent="0.25">
      <c r="B1641" s="97">
        <f t="shared" si="463"/>
        <v>851</v>
      </c>
      <c r="C1641" s="9"/>
      <c r="D1641" s="9"/>
      <c r="E1641" s="9"/>
      <c r="F1641" s="54" t="s">
        <v>554</v>
      </c>
      <c r="G1641" s="126">
        <v>633</v>
      </c>
      <c r="H1641" s="9" t="s">
        <v>305</v>
      </c>
      <c r="I1641" s="10">
        <v>1601</v>
      </c>
      <c r="J1641" s="10">
        <v>1316</v>
      </c>
      <c r="K1641" s="10">
        <v>1316</v>
      </c>
      <c r="L1641" s="10">
        <v>1290</v>
      </c>
      <c r="M1641" s="10">
        <v>2600</v>
      </c>
      <c r="N1641" s="10"/>
      <c r="O1641" s="10"/>
      <c r="P1641" s="10"/>
      <c r="Q1641" s="10"/>
      <c r="R1641" s="10"/>
      <c r="T1641" s="10">
        <f t="shared" si="470"/>
        <v>1601</v>
      </c>
    </row>
    <row r="1642" spans="2:20" x14ac:dyDescent="0.25">
      <c r="B1642" s="97">
        <f t="shared" si="463"/>
        <v>852</v>
      </c>
      <c r="C1642" s="9"/>
      <c r="D1642" s="9"/>
      <c r="E1642" s="9"/>
      <c r="F1642" s="54" t="s">
        <v>554</v>
      </c>
      <c r="G1642" s="126">
        <v>635</v>
      </c>
      <c r="H1642" s="9" t="s">
        <v>320</v>
      </c>
      <c r="I1642" s="10">
        <v>645</v>
      </c>
      <c r="J1642" s="10">
        <v>645</v>
      </c>
      <c r="K1642" s="10">
        <v>645</v>
      </c>
      <c r="L1642" s="10">
        <v>645</v>
      </c>
      <c r="M1642" s="10">
        <v>1000</v>
      </c>
      <c r="N1642" s="10"/>
      <c r="O1642" s="10"/>
      <c r="P1642" s="10"/>
      <c r="Q1642" s="10"/>
      <c r="R1642" s="10"/>
      <c r="T1642" s="10">
        <f t="shared" si="470"/>
        <v>645</v>
      </c>
    </row>
    <row r="1643" spans="2:20" x14ac:dyDescent="0.25">
      <c r="B1643" s="97">
        <f t="shared" si="463"/>
        <v>853</v>
      </c>
      <c r="C1643" s="9"/>
      <c r="D1643" s="9"/>
      <c r="E1643" s="9"/>
      <c r="F1643" s="54" t="s">
        <v>554</v>
      </c>
      <c r="G1643" s="126">
        <v>637</v>
      </c>
      <c r="H1643" s="9" t="s">
        <v>308</v>
      </c>
      <c r="I1643" s="10">
        <v>1505</v>
      </c>
      <c r="J1643" s="10">
        <v>1505</v>
      </c>
      <c r="K1643" s="10">
        <v>1505</v>
      </c>
      <c r="L1643" s="10">
        <v>1505</v>
      </c>
      <c r="M1643" s="10">
        <v>400</v>
      </c>
      <c r="N1643" s="10"/>
      <c r="O1643" s="10"/>
      <c r="P1643" s="10"/>
      <c r="Q1643" s="10"/>
      <c r="R1643" s="10"/>
      <c r="T1643" s="10">
        <f t="shared" si="470"/>
        <v>1505</v>
      </c>
    </row>
    <row r="1644" spans="2:20" x14ac:dyDescent="0.25">
      <c r="B1644" s="97">
        <f t="shared" si="463"/>
        <v>854</v>
      </c>
      <c r="C1644" s="29"/>
      <c r="D1644" s="29"/>
      <c r="E1644" s="29"/>
      <c r="F1644" s="53" t="s">
        <v>554</v>
      </c>
      <c r="G1644" s="125">
        <v>640</v>
      </c>
      <c r="H1644" s="29" t="s">
        <v>315</v>
      </c>
      <c r="I1644" s="15">
        <v>758</v>
      </c>
      <c r="J1644" s="15">
        <v>758</v>
      </c>
      <c r="K1644" s="15">
        <v>758</v>
      </c>
      <c r="L1644" s="15">
        <v>0</v>
      </c>
      <c r="M1644" s="15">
        <v>500</v>
      </c>
      <c r="N1644" s="15"/>
      <c r="O1644" s="15"/>
      <c r="P1644" s="15"/>
      <c r="Q1644" s="15"/>
      <c r="R1644" s="15"/>
      <c r="T1644" s="15">
        <f t="shared" si="470"/>
        <v>758</v>
      </c>
    </row>
    <row r="1645" spans="2:20" x14ac:dyDescent="0.25">
      <c r="B1645" s="97">
        <f t="shared" ref="B1645" si="475">B1644+1</f>
        <v>855</v>
      </c>
      <c r="C1645" s="29"/>
      <c r="D1645" s="29"/>
      <c r="E1645" s="29"/>
      <c r="F1645" s="53" t="s">
        <v>550</v>
      </c>
      <c r="G1645" s="125">
        <v>610</v>
      </c>
      <c r="H1645" s="29" t="s">
        <v>338</v>
      </c>
      <c r="I1645" s="15">
        <f>35539+1080</f>
        <v>36619</v>
      </c>
      <c r="J1645" s="15">
        <v>33527</v>
      </c>
      <c r="K1645" s="15">
        <v>33527</v>
      </c>
      <c r="L1645" s="15">
        <v>25907</v>
      </c>
      <c r="M1645" s="15">
        <v>0</v>
      </c>
      <c r="N1645" s="15"/>
      <c r="O1645" s="15"/>
      <c r="P1645" s="15"/>
      <c r="Q1645" s="15"/>
      <c r="R1645" s="15"/>
      <c r="T1645" s="15">
        <f t="shared" si="470"/>
        <v>36619</v>
      </c>
    </row>
    <row r="1646" spans="2:20" x14ac:dyDescent="0.25">
      <c r="B1646" s="97">
        <f t="shared" ref="B1646:B1704" si="476">B1645+1</f>
        <v>856</v>
      </c>
      <c r="C1646" s="29"/>
      <c r="D1646" s="29"/>
      <c r="E1646" s="29"/>
      <c r="F1646" s="53" t="s">
        <v>550</v>
      </c>
      <c r="G1646" s="125">
        <v>620</v>
      </c>
      <c r="H1646" s="29" t="s">
        <v>313</v>
      </c>
      <c r="I1646" s="15">
        <f>13087+380</f>
        <v>13467</v>
      </c>
      <c r="J1646" s="15">
        <v>12346</v>
      </c>
      <c r="K1646" s="15">
        <v>12346</v>
      </c>
      <c r="L1646" s="15">
        <v>9629</v>
      </c>
      <c r="M1646" s="15">
        <v>0</v>
      </c>
      <c r="N1646" s="15"/>
      <c r="O1646" s="15"/>
      <c r="P1646" s="15"/>
      <c r="Q1646" s="15"/>
      <c r="R1646" s="15"/>
      <c r="T1646" s="15">
        <f t="shared" si="470"/>
        <v>13467</v>
      </c>
    </row>
    <row r="1647" spans="2:20" x14ac:dyDescent="0.25">
      <c r="B1647" s="97">
        <f t="shared" si="476"/>
        <v>857</v>
      </c>
      <c r="C1647" s="29"/>
      <c r="D1647" s="29"/>
      <c r="E1647" s="29"/>
      <c r="F1647" s="53" t="s">
        <v>550</v>
      </c>
      <c r="G1647" s="125">
        <v>630</v>
      </c>
      <c r="H1647" s="29" t="s">
        <v>303</v>
      </c>
      <c r="I1647" s="15">
        <f>I1648+I1649+I1650+I1651</f>
        <v>7472</v>
      </c>
      <c r="J1647" s="15">
        <f t="shared" ref="J1647:M1647" si="477">J1651+J1650+J1649+J1648</f>
        <v>6304</v>
      </c>
      <c r="K1647" s="15">
        <f t="shared" si="477"/>
        <v>7049</v>
      </c>
      <c r="L1647" s="15">
        <f t="shared" si="477"/>
        <v>11418</v>
      </c>
      <c r="M1647" s="15">
        <f t="shared" si="477"/>
        <v>0</v>
      </c>
      <c r="N1647" s="15"/>
      <c r="O1647" s="15"/>
      <c r="P1647" s="15"/>
      <c r="Q1647" s="15"/>
      <c r="R1647" s="15"/>
      <c r="T1647" s="15">
        <f t="shared" si="470"/>
        <v>7472</v>
      </c>
    </row>
    <row r="1648" spans="2:20" x14ac:dyDescent="0.25">
      <c r="B1648" s="97">
        <f t="shared" si="476"/>
        <v>858</v>
      </c>
      <c r="C1648" s="9"/>
      <c r="D1648" s="9"/>
      <c r="E1648" s="9"/>
      <c r="F1648" s="54" t="s">
        <v>550</v>
      </c>
      <c r="G1648" s="126">
        <v>632</v>
      </c>
      <c r="H1648" s="9" t="s">
        <v>314</v>
      </c>
      <c r="I1648" s="10">
        <v>1710</v>
      </c>
      <c r="J1648" s="10">
        <v>1710</v>
      </c>
      <c r="K1648" s="10">
        <v>1710</v>
      </c>
      <c r="L1648" s="10">
        <v>1710</v>
      </c>
      <c r="M1648" s="10">
        <v>0</v>
      </c>
      <c r="N1648" s="10"/>
      <c r="O1648" s="10"/>
      <c r="P1648" s="10"/>
      <c r="Q1648" s="10"/>
      <c r="R1648" s="10"/>
      <c r="T1648" s="10">
        <f t="shared" si="470"/>
        <v>1710</v>
      </c>
    </row>
    <row r="1649" spans="2:20" x14ac:dyDescent="0.25">
      <c r="B1649" s="97">
        <f t="shared" si="476"/>
        <v>859</v>
      </c>
      <c r="C1649" s="9"/>
      <c r="D1649" s="9"/>
      <c r="E1649" s="9"/>
      <c r="F1649" s="54" t="s">
        <v>550</v>
      </c>
      <c r="G1649" s="126">
        <v>633</v>
      </c>
      <c r="H1649" s="9" t="s">
        <v>305</v>
      </c>
      <c r="I1649" s="10">
        <v>2912</v>
      </c>
      <c r="J1649" s="10">
        <v>1744</v>
      </c>
      <c r="K1649" s="10">
        <v>2489</v>
      </c>
      <c r="L1649" s="10">
        <v>6858</v>
      </c>
      <c r="M1649" s="10">
        <v>0</v>
      </c>
      <c r="N1649" s="10"/>
      <c r="O1649" s="10"/>
      <c r="P1649" s="10"/>
      <c r="Q1649" s="10"/>
      <c r="R1649" s="10"/>
      <c r="T1649" s="10">
        <f t="shared" si="470"/>
        <v>2912</v>
      </c>
    </row>
    <row r="1650" spans="2:20" x14ac:dyDescent="0.25">
      <c r="B1650" s="97">
        <f t="shared" si="476"/>
        <v>860</v>
      </c>
      <c r="C1650" s="9"/>
      <c r="D1650" s="9"/>
      <c r="E1650" s="9"/>
      <c r="F1650" s="54" t="s">
        <v>550</v>
      </c>
      <c r="G1650" s="126">
        <v>635</v>
      </c>
      <c r="H1650" s="9" t="s">
        <v>320</v>
      </c>
      <c r="I1650" s="10">
        <v>855</v>
      </c>
      <c r="J1650" s="10">
        <v>855</v>
      </c>
      <c r="K1650" s="10">
        <v>855</v>
      </c>
      <c r="L1650" s="10">
        <v>855</v>
      </c>
      <c r="M1650" s="10">
        <v>0</v>
      </c>
      <c r="N1650" s="10"/>
      <c r="O1650" s="10"/>
      <c r="P1650" s="10"/>
      <c r="Q1650" s="10"/>
      <c r="R1650" s="10"/>
      <c r="T1650" s="10">
        <f t="shared" si="470"/>
        <v>855</v>
      </c>
    </row>
    <row r="1651" spans="2:20" x14ac:dyDescent="0.25">
      <c r="B1651" s="97">
        <f t="shared" si="476"/>
        <v>861</v>
      </c>
      <c r="C1651" s="9"/>
      <c r="D1651" s="9"/>
      <c r="E1651" s="9"/>
      <c r="F1651" s="54" t="s">
        <v>550</v>
      </c>
      <c r="G1651" s="126">
        <v>637</v>
      </c>
      <c r="H1651" s="9" t="s">
        <v>308</v>
      </c>
      <c r="I1651" s="10">
        <v>1995</v>
      </c>
      <c r="J1651" s="10">
        <v>1995</v>
      </c>
      <c r="K1651" s="10">
        <v>1995</v>
      </c>
      <c r="L1651" s="10">
        <v>1995</v>
      </c>
      <c r="M1651" s="10">
        <v>0</v>
      </c>
      <c r="N1651" s="10"/>
      <c r="O1651" s="10"/>
      <c r="P1651" s="10"/>
      <c r="Q1651" s="10"/>
      <c r="R1651" s="10"/>
      <c r="T1651" s="10">
        <f t="shared" si="470"/>
        <v>1995</v>
      </c>
    </row>
    <row r="1652" spans="2:20" x14ac:dyDescent="0.25">
      <c r="B1652" s="97">
        <f t="shared" si="476"/>
        <v>862</v>
      </c>
      <c r="C1652" s="29"/>
      <c r="D1652" s="29"/>
      <c r="E1652" s="29"/>
      <c r="F1652" s="53" t="s">
        <v>550</v>
      </c>
      <c r="G1652" s="125">
        <v>640</v>
      </c>
      <c r="H1652" s="29" t="s">
        <v>315</v>
      </c>
      <c r="I1652" s="15">
        <v>982</v>
      </c>
      <c r="J1652" s="15">
        <v>982</v>
      </c>
      <c r="K1652" s="15">
        <v>982</v>
      </c>
      <c r="L1652" s="15">
        <v>0</v>
      </c>
      <c r="M1652" s="15">
        <v>0</v>
      </c>
      <c r="N1652" s="15"/>
      <c r="O1652" s="15"/>
      <c r="P1652" s="15"/>
      <c r="Q1652" s="15"/>
      <c r="R1652" s="15"/>
      <c r="T1652" s="15">
        <f t="shared" si="470"/>
        <v>982</v>
      </c>
    </row>
    <row r="1653" spans="2:20" x14ac:dyDescent="0.25">
      <c r="B1653" s="97">
        <f t="shared" si="476"/>
        <v>863</v>
      </c>
      <c r="C1653" s="49"/>
      <c r="D1653" s="49"/>
      <c r="E1653" s="49">
        <v>8</v>
      </c>
      <c r="F1653" s="49"/>
      <c r="G1653" s="123"/>
      <c r="H1653" s="49" t="s">
        <v>186</v>
      </c>
      <c r="I1653" s="50">
        <f>I1655+I1657</f>
        <v>128380</v>
      </c>
      <c r="J1653" s="50">
        <f t="shared" ref="J1653:R1653" si="478">J1654</f>
        <v>114240</v>
      </c>
      <c r="K1653" s="50">
        <f t="shared" si="478"/>
        <v>114240</v>
      </c>
      <c r="L1653" s="50">
        <f t="shared" si="478"/>
        <v>112000</v>
      </c>
      <c r="M1653" s="50">
        <f t="shared" si="478"/>
        <v>106500</v>
      </c>
      <c r="N1653" s="50">
        <v>0</v>
      </c>
      <c r="O1653" s="50">
        <f t="shared" si="478"/>
        <v>0</v>
      </c>
      <c r="P1653" s="50">
        <f t="shared" si="478"/>
        <v>0</v>
      </c>
      <c r="Q1653" s="50">
        <f t="shared" si="478"/>
        <v>29200</v>
      </c>
      <c r="R1653" s="50">
        <f t="shared" si="478"/>
        <v>0</v>
      </c>
      <c r="T1653" s="50">
        <f t="shared" si="470"/>
        <v>128380</v>
      </c>
    </row>
    <row r="1654" spans="2:20" hidden="1" x14ac:dyDescent="0.25">
      <c r="B1654" s="97">
        <f t="shared" si="476"/>
        <v>864</v>
      </c>
      <c r="C1654" s="51"/>
      <c r="D1654" s="51"/>
      <c r="E1654" s="51" t="s">
        <v>60</v>
      </c>
      <c r="F1654" s="51"/>
      <c r="G1654" s="124"/>
      <c r="H1654" s="51"/>
      <c r="I1654" s="52" t="e">
        <f>#REF!+#REF!</f>
        <v>#REF!</v>
      </c>
      <c r="J1654" s="52">
        <f t="shared" ref="J1654:R1654" si="479">J1659+J1657+J1655</f>
        <v>114240</v>
      </c>
      <c r="K1654" s="52">
        <f t="shared" si="479"/>
        <v>114240</v>
      </c>
      <c r="L1654" s="52">
        <f t="shared" si="479"/>
        <v>112000</v>
      </c>
      <c r="M1654" s="52">
        <f t="shared" si="479"/>
        <v>106500</v>
      </c>
      <c r="N1654" s="52"/>
      <c r="O1654" s="52">
        <f t="shared" si="479"/>
        <v>0</v>
      </c>
      <c r="P1654" s="52">
        <f t="shared" si="479"/>
        <v>0</v>
      </c>
      <c r="Q1654" s="52">
        <f t="shared" si="479"/>
        <v>29200</v>
      </c>
      <c r="R1654" s="52">
        <f t="shared" si="479"/>
        <v>0</v>
      </c>
      <c r="T1654" s="52" t="e">
        <f t="shared" si="470"/>
        <v>#REF!</v>
      </c>
    </row>
    <row r="1655" spans="2:20" x14ac:dyDescent="0.25">
      <c r="B1655" s="97">
        <f t="shared" si="476"/>
        <v>865</v>
      </c>
      <c r="C1655" s="29"/>
      <c r="D1655" s="29"/>
      <c r="E1655" s="29"/>
      <c r="F1655" s="53" t="s">
        <v>554</v>
      </c>
      <c r="G1655" s="125">
        <v>630</v>
      </c>
      <c r="H1655" s="29" t="s">
        <v>303</v>
      </c>
      <c r="I1655" s="15">
        <f>I1656</f>
        <v>52083</v>
      </c>
      <c r="J1655" s="15">
        <f t="shared" ref="J1655:M1655" si="480">J1656</f>
        <v>45696</v>
      </c>
      <c r="K1655" s="15">
        <f t="shared" si="480"/>
        <v>45696</v>
      </c>
      <c r="L1655" s="15">
        <f t="shared" si="480"/>
        <v>44800</v>
      </c>
      <c r="M1655" s="15">
        <f t="shared" si="480"/>
        <v>106500</v>
      </c>
      <c r="N1655" s="15"/>
      <c r="O1655" s="15"/>
      <c r="P1655" s="15"/>
      <c r="Q1655" s="15"/>
      <c r="R1655" s="15"/>
      <c r="T1655" s="15">
        <f t="shared" si="470"/>
        <v>52083</v>
      </c>
    </row>
    <row r="1656" spans="2:20" x14ac:dyDescent="0.25">
      <c r="B1656" s="97">
        <f t="shared" si="476"/>
        <v>866</v>
      </c>
      <c r="C1656" s="9"/>
      <c r="D1656" s="9"/>
      <c r="E1656" s="9"/>
      <c r="F1656" s="54" t="s">
        <v>554</v>
      </c>
      <c r="G1656" s="126">
        <v>637</v>
      </c>
      <c r="H1656" s="9" t="s">
        <v>308</v>
      </c>
      <c r="I1656" s="10">
        <f>48440+3643</f>
        <v>52083</v>
      </c>
      <c r="J1656" s="10">
        <v>45696</v>
      </c>
      <c r="K1656" s="10">
        <v>45696</v>
      </c>
      <c r="L1656" s="10">
        <v>44800</v>
      </c>
      <c r="M1656" s="10">
        <v>106500</v>
      </c>
      <c r="N1656" s="10"/>
      <c r="O1656" s="10"/>
      <c r="P1656" s="10"/>
      <c r="Q1656" s="10"/>
      <c r="R1656" s="10"/>
      <c r="T1656" s="10">
        <f t="shared" si="470"/>
        <v>52083</v>
      </c>
    </row>
    <row r="1657" spans="2:20" x14ac:dyDescent="0.25">
      <c r="B1657" s="97">
        <f t="shared" si="476"/>
        <v>867</v>
      </c>
      <c r="C1657" s="29"/>
      <c r="D1657" s="29"/>
      <c r="E1657" s="29"/>
      <c r="F1657" s="53" t="s">
        <v>550</v>
      </c>
      <c r="G1657" s="125">
        <v>630</v>
      </c>
      <c r="H1657" s="29" t="s">
        <v>303</v>
      </c>
      <c r="I1657" s="15">
        <f>I1658</f>
        <v>76297</v>
      </c>
      <c r="J1657" s="15">
        <f t="shared" ref="J1657:M1657" si="481">J1658</f>
        <v>68544</v>
      </c>
      <c r="K1657" s="15">
        <f t="shared" si="481"/>
        <v>68544</v>
      </c>
      <c r="L1657" s="15">
        <f t="shared" si="481"/>
        <v>67200</v>
      </c>
      <c r="M1657" s="15">
        <f t="shared" si="481"/>
        <v>0</v>
      </c>
      <c r="N1657" s="15"/>
      <c r="O1657" s="15"/>
      <c r="P1657" s="15"/>
      <c r="Q1657" s="15"/>
      <c r="R1657" s="15"/>
      <c r="T1657" s="15">
        <f t="shared" si="470"/>
        <v>76297</v>
      </c>
    </row>
    <row r="1658" spans="2:20" x14ac:dyDescent="0.25">
      <c r="B1658" s="97">
        <f t="shared" si="476"/>
        <v>868</v>
      </c>
      <c r="C1658" s="9"/>
      <c r="D1658" s="9"/>
      <c r="E1658" s="9"/>
      <c r="F1658" s="54" t="s">
        <v>550</v>
      </c>
      <c r="G1658" s="126">
        <v>637</v>
      </c>
      <c r="H1658" s="9" t="s">
        <v>308</v>
      </c>
      <c r="I1658" s="10">
        <f>72655+3642</f>
        <v>76297</v>
      </c>
      <c r="J1658" s="10">
        <v>68544</v>
      </c>
      <c r="K1658" s="10">
        <v>68544</v>
      </c>
      <c r="L1658" s="10">
        <v>67200</v>
      </c>
      <c r="M1658" s="10">
        <v>0</v>
      </c>
      <c r="N1658" s="10"/>
      <c r="O1658" s="10"/>
      <c r="P1658" s="10"/>
      <c r="Q1658" s="10"/>
      <c r="R1658" s="10"/>
      <c r="T1658" s="10">
        <f t="shared" si="470"/>
        <v>76297</v>
      </c>
    </row>
    <row r="1659" spans="2:20" x14ac:dyDescent="0.25">
      <c r="B1659" s="97">
        <f t="shared" si="476"/>
        <v>869</v>
      </c>
      <c r="C1659" s="29"/>
      <c r="D1659" s="29"/>
      <c r="E1659" s="29"/>
      <c r="F1659" s="53" t="s">
        <v>554</v>
      </c>
      <c r="G1659" s="125">
        <v>710</v>
      </c>
      <c r="H1659" s="29" t="s">
        <v>321</v>
      </c>
      <c r="I1659" s="15"/>
      <c r="J1659" s="15"/>
      <c r="K1659" s="15"/>
      <c r="L1659" s="15"/>
      <c r="M1659" s="15"/>
      <c r="N1659" s="15"/>
      <c r="O1659" s="15"/>
      <c r="P1659" s="15"/>
      <c r="Q1659" s="15">
        <f t="shared" ref="Q1659" si="482">Q1660</f>
        <v>29200</v>
      </c>
      <c r="R1659" s="15"/>
      <c r="T1659" s="15">
        <f t="shared" si="470"/>
        <v>0</v>
      </c>
    </row>
    <row r="1660" spans="2:20" x14ac:dyDescent="0.25">
      <c r="B1660" s="97">
        <f t="shared" si="476"/>
        <v>870</v>
      </c>
      <c r="C1660" s="9"/>
      <c r="D1660" s="9"/>
      <c r="E1660" s="9"/>
      <c r="F1660" s="54" t="s">
        <v>554</v>
      </c>
      <c r="G1660" s="126">
        <v>713</v>
      </c>
      <c r="H1660" s="9" t="s">
        <v>360</v>
      </c>
      <c r="I1660" s="10"/>
      <c r="J1660" s="10"/>
      <c r="K1660" s="10"/>
      <c r="L1660" s="10"/>
      <c r="M1660" s="10"/>
      <c r="N1660" s="10"/>
      <c r="O1660" s="10"/>
      <c r="P1660" s="10"/>
      <c r="Q1660" s="10">
        <v>29200</v>
      </c>
      <c r="R1660" s="10"/>
      <c r="T1660" s="10">
        <f t="shared" si="470"/>
        <v>0</v>
      </c>
    </row>
    <row r="1661" spans="2:20" x14ac:dyDescent="0.25">
      <c r="B1661" s="97">
        <f t="shared" si="476"/>
        <v>871</v>
      </c>
      <c r="C1661" s="49"/>
      <c r="D1661" s="49"/>
      <c r="E1661" s="49">
        <v>9</v>
      </c>
      <c r="F1661" s="49"/>
      <c r="G1661" s="123"/>
      <c r="H1661" s="49" t="s">
        <v>187</v>
      </c>
      <c r="I1661" s="50">
        <f>I1663+I1664+I1665+I1671+I1672+I1673+I1674+I1679</f>
        <v>84072</v>
      </c>
      <c r="J1661" s="50">
        <f t="shared" ref="J1661:R1661" si="483">J1662</f>
        <v>77392</v>
      </c>
      <c r="K1661" s="50">
        <f t="shared" si="483"/>
        <v>77392</v>
      </c>
      <c r="L1661" s="50">
        <f t="shared" si="483"/>
        <v>73526.28</v>
      </c>
      <c r="M1661" s="50">
        <f t="shared" si="483"/>
        <v>55780</v>
      </c>
      <c r="N1661" s="50">
        <v>0</v>
      </c>
      <c r="O1661" s="50">
        <f t="shared" si="483"/>
        <v>0</v>
      </c>
      <c r="P1661" s="50">
        <f t="shared" si="483"/>
        <v>0</v>
      </c>
      <c r="Q1661" s="50">
        <f t="shared" si="483"/>
        <v>0</v>
      </c>
      <c r="R1661" s="50">
        <f t="shared" si="483"/>
        <v>0</v>
      </c>
      <c r="T1661" s="50">
        <f t="shared" si="470"/>
        <v>84072</v>
      </c>
    </row>
    <row r="1662" spans="2:20" hidden="1" x14ac:dyDescent="0.25">
      <c r="B1662" s="97">
        <f t="shared" si="476"/>
        <v>872</v>
      </c>
      <c r="C1662" s="51"/>
      <c r="D1662" s="51"/>
      <c r="E1662" s="51" t="s">
        <v>60</v>
      </c>
      <c r="F1662" s="51"/>
      <c r="G1662" s="124"/>
      <c r="H1662" s="51"/>
      <c r="I1662" s="52" t="e">
        <f>#REF!+#REF!</f>
        <v>#REF!</v>
      </c>
      <c r="J1662" s="52">
        <f t="shared" ref="J1662:R1662" si="484">J1679+J1674+J1673+J1672+J1671+J1665+J1664+J1663</f>
        <v>77392</v>
      </c>
      <c r="K1662" s="52">
        <f t="shared" si="484"/>
        <v>77392</v>
      </c>
      <c r="L1662" s="52">
        <f t="shared" si="484"/>
        <v>73526.28</v>
      </c>
      <c r="M1662" s="52">
        <f t="shared" si="484"/>
        <v>55780</v>
      </c>
      <c r="N1662" s="52"/>
      <c r="O1662" s="52">
        <f t="shared" si="484"/>
        <v>0</v>
      </c>
      <c r="P1662" s="52">
        <f t="shared" si="484"/>
        <v>0</v>
      </c>
      <c r="Q1662" s="52">
        <f t="shared" si="484"/>
        <v>0</v>
      </c>
      <c r="R1662" s="52">
        <f t="shared" si="484"/>
        <v>0</v>
      </c>
      <c r="T1662" s="52" t="e">
        <f t="shared" si="470"/>
        <v>#REF!</v>
      </c>
    </row>
    <row r="1663" spans="2:20" x14ac:dyDescent="0.25">
      <c r="B1663" s="97">
        <f t="shared" si="476"/>
        <v>873</v>
      </c>
      <c r="C1663" s="29"/>
      <c r="D1663" s="29"/>
      <c r="E1663" s="29"/>
      <c r="F1663" s="53" t="s">
        <v>554</v>
      </c>
      <c r="G1663" s="125">
        <v>610</v>
      </c>
      <c r="H1663" s="29" t="s">
        <v>338</v>
      </c>
      <c r="I1663" s="15">
        <f>20144+720</f>
        <v>20864</v>
      </c>
      <c r="J1663" s="15">
        <v>19004</v>
      </c>
      <c r="K1663" s="15">
        <v>18933</v>
      </c>
      <c r="L1663" s="15">
        <v>17774</v>
      </c>
      <c r="M1663" s="15">
        <v>30554</v>
      </c>
      <c r="N1663" s="15"/>
      <c r="O1663" s="15"/>
      <c r="P1663" s="15"/>
      <c r="Q1663" s="15"/>
      <c r="R1663" s="15"/>
      <c r="T1663" s="15">
        <f t="shared" si="470"/>
        <v>20864</v>
      </c>
    </row>
    <row r="1664" spans="2:20" x14ac:dyDescent="0.25">
      <c r="B1664" s="97">
        <f t="shared" si="476"/>
        <v>874</v>
      </c>
      <c r="C1664" s="29"/>
      <c r="D1664" s="29"/>
      <c r="E1664" s="29"/>
      <c r="F1664" s="53" t="s">
        <v>554</v>
      </c>
      <c r="G1664" s="125">
        <v>620</v>
      </c>
      <c r="H1664" s="29" t="s">
        <v>313</v>
      </c>
      <c r="I1664" s="15">
        <f>7240+252</f>
        <v>7492</v>
      </c>
      <c r="J1664" s="15">
        <v>6642</v>
      </c>
      <c r="K1664" s="15">
        <v>6642</v>
      </c>
      <c r="L1664" s="15">
        <v>6048</v>
      </c>
      <c r="M1664" s="15">
        <v>11560</v>
      </c>
      <c r="N1664" s="15"/>
      <c r="O1664" s="15"/>
      <c r="P1664" s="15"/>
      <c r="Q1664" s="15"/>
      <c r="R1664" s="15"/>
      <c r="T1664" s="15">
        <f t="shared" si="470"/>
        <v>7492</v>
      </c>
    </row>
    <row r="1665" spans="2:20" x14ac:dyDescent="0.25">
      <c r="B1665" s="97">
        <f t="shared" si="476"/>
        <v>875</v>
      </c>
      <c r="C1665" s="29"/>
      <c r="D1665" s="29"/>
      <c r="E1665" s="29"/>
      <c r="F1665" s="53" t="s">
        <v>554</v>
      </c>
      <c r="G1665" s="125">
        <v>630</v>
      </c>
      <c r="H1665" s="29" t="s">
        <v>303</v>
      </c>
      <c r="I1665" s="15">
        <f>SUM(I1667:I1670)</f>
        <v>13680</v>
      </c>
      <c r="J1665" s="15">
        <f t="shared" ref="J1665:L1665" si="485">J1670+J1669+J1668+J1667</f>
        <v>13050</v>
      </c>
      <c r="K1665" s="15">
        <f t="shared" si="485"/>
        <v>13050</v>
      </c>
      <c r="L1665" s="15">
        <f t="shared" si="485"/>
        <v>12795.02</v>
      </c>
      <c r="M1665" s="15">
        <f>M1670+M1669+M1668+M1667+M1666</f>
        <v>13600</v>
      </c>
      <c r="N1665" s="15"/>
      <c r="O1665" s="15"/>
      <c r="P1665" s="15"/>
      <c r="Q1665" s="15"/>
      <c r="R1665" s="15"/>
      <c r="T1665" s="15">
        <f t="shared" si="470"/>
        <v>13680</v>
      </c>
    </row>
    <row r="1666" spans="2:20" x14ac:dyDescent="0.25">
      <c r="B1666" s="97">
        <f t="shared" si="476"/>
        <v>876</v>
      </c>
      <c r="C1666" s="29"/>
      <c r="D1666" s="29"/>
      <c r="E1666" s="29"/>
      <c r="F1666" s="54" t="s">
        <v>562</v>
      </c>
      <c r="G1666" s="126">
        <v>631</v>
      </c>
      <c r="H1666" s="9" t="s">
        <v>304</v>
      </c>
      <c r="I1666" s="16">
        <v>0</v>
      </c>
      <c r="J1666" s="15"/>
      <c r="K1666" s="15"/>
      <c r="L1666" s="15"/>
      <c r="M1666" s="16">
        <v>20</v>
      </c>
      <c r="N1666" s="15"/>
      <c r="O1666" s="15"/>
      <c r="P1666" s="15"/>
      <c r="Q1666" s="15"/>
      <c r="R1666" s="15"/>
      <c r="T1666" s="15">
        <f t="shared" si="470"/>
        <v>0</v>
      </c>
    </row>
    <row r="1667" spans="2:20" x14ac:dyDescent="0.25">
      <c r="B1667" s="97">
        <f t="shared" si="476"/>
        <v>877</v>
      </c>
      <c r="C1667" s="9"/>
      <c r="D1667" s="9"/>
      <c r="E1667" s="9"/>
      <c r="F1667" s="54" t="s">
        <v>554</v>
      </c>
      <c r="G1667" s="126">
        <v>632</v>
      </c>
      <c r="H1667" s="9" t="s">
        <v>314</v>
      </c>
      <c r="I1667" s="10">
        <v>9130</v>
      </c>
      <c r="J1667" s="10">
        <v>8464</v>
      </c>
      <c r="K1667" s="10">
        <v>8464</v>
      </c>
      <c r="L1667" s="10">
        <v>5159</v>
      </c>
      <c r="M1667" s="10">
        <v>10860</v>
      </c>
      <c r="N1667" s="10"/>
      <c r="O1667" s="10"/>
      <c r="P1667" s="10"/>
      <c r="Q1667" s="10"/>
      <c r="R1667" s="10"/>
      <c r="T1667" s="10">
        <f t="shared" si="470"/>
        <v>9130</v>
      </c>
    </row>
    <row r="1668" spans="2:20" x14ac:dyDescent="0.25">
      <c r="B1668" s="97">
        <f t="shared" si="476"/>
        <v>878</v>
      </c>
      <c r="C1668" s="9"/>
      <c r="D1668" s="9"/>
      <c r="E1668" s="9"/>
      <c r="F1668" s="54" t="s">
        <v>554</v>
      </c>
      <c r="G1668" s="126">
        <v>633</v>
      </c>
      <c r="H1668" s="9" t="s">
        <v>305</v>
      </c>
      <c r="I1668" s="10">
        <v>800</v>
      </c>
      <c r="J1668" s="10">
        <v>2060</v>
      </c>
      <c r="K1668" s="10">
        <v>2060</v>
      </c>
      <c r="L1668" s="10">
        <v>4071</v>
      </c>
      <c r="M1668" s="10">
        <v>400</v>
      </c>
      <c r="N1668" s="10"/>
      <c r="O1668" s="10"/>
      <c r="P1668" s="10"/>
      <c r="Q1668" s="10"/>
      <c r="R1668" s="10"/>
      <c r="T1668" s="10">
        <f t="shared" si="470"/>
        <v>800</v>
      </c>
    </row>
    <row r="1669" spans="2:20" x14ac:dyDescent="0.25">
      <c r="B1669" s="97">
        <f t="shared" si="476"/>
        <v>879</v>
      </c>
      <c r="C1669" s="9"/>
      <c r="D1669" s="9"/>
      <c r="E1669" s="9"/>
      <c r="F1669" s="54" t="s">
        <v>554</v>
      </c>
      <c r="G1669" s="126">
        <v>635</v>
      </c>
      <c r="H1669" s="9" t="s">
        <v>320</v>
      </c>
      <c r="I1669" s="10">
        <v>1700</v>
      </c>
      <c r="J1669" s="10">
        <v>900</v>
      </c>
      <c r="K1669" s="10">
        <v>900</v>
      </c>
      <c r="L1669" s="10">
        <v>1712</v>
      </c>
      <c r="M1669" s="10">
        <v>220</v>
      </c>
      <c r="N1669" s="10"/>
      <c r="O1669" s="10"/>
      <c r="P1669" s="10"/>
      <c r="Q1669" s="10"/>
      <c r="R1669" s="10"/>
      <c r="T1669" s="10">
        <f t="shared" si="470"/>
        <v>1700</v>
      </c>
    </row>
    <row r="1670" spans="2:20" x14ac:dyDescent="0.25">
      <c r="B1670" s="97">
        <f t="shared" si="476"/>
        <v>880</v>
      </c>
      <c r="C1670" s="9"/>
      <c r="D1670" s="9"/>
      <c r="E1670" s="9"/>
      <c r="F1670" s="54" t="s">
        <v>554</v>
      </c>
      <c r="G1670" s="126">
        <v>637</v>
      </c>
      <c r="H1670" s="9" t="s">
        <v>308</v>
      </c>
      <c r="I1670" s="10">
        <v>2050</v>
      </c>
      <c r="J1670" s="10">
        <v>1626</v>
      </c>
      <c r="K1670" s="10">
        <v>1626</v>
      </c>
      <c r="L1670" s="10">
        <v>1853.02</v>
      </c>
      <c r="M1670" s="10">
        <v>2100</v>
      </c>
      <c r="N1670" s="10"/>
      <c r="O1670" s="10"/>
      <c r="P1670" s="10"/>
      <c r="Q1670" s="10"/>
      <c r="R1670" s="10"/>
      <c r="T1670" s="10">
        <f t="shared" si="470"/>
        <v>2050</v>
      </c>
    </row>
    <row r="1671" spans="2:20" x14ac:dyDescent="0.25">
      <c r="B1671" s="97">
        <f t="shared" si="476"/>
        <v>881</v>
      </c>
      <c r="C1671" s="29"/>
      <c r="D1671" s="29"/>
      <c r="E1671" s="29"/>
      <c r="F1671" s="53" t="s">
        <v>554</v>
      </c>
      <c r="G1671" s="125">
        <v>640</v>
      </c>
      <c r="H1671" s="29" t="s">
        <v>315</v>
      </c>
      <c r="I1671" s="15">
        <v>0</v>
      </c>
      <c r="J1671" s="15">
        <v>0</v>
      </c>
      <c r="K1671" s="15">
        <v>71</v>
      </c>
      <c r="L1671" s="15">
        <v>145</v>
      </c>
      <c r="M1671" s="15">
        <v>66</v>
      </c>
      <c r="N1671" s="15"/>
      <c r="O1671" s="15"/>
      <c r="P1671" s="15"/>
      <c r="Q1671" s="15"/>
      <c r="R1671" s="15"/>
      <c r="T1671" s="15">
        <f t="shared" si="470"/>
        <v>0</v>
      </c>
    </row>
    <row r="1672" spans="2:20" x14ac:dyDescent="0.25">
      <c r="B1672" s="97">
        <f t="shared" si="476"/>
        <v>882</v>
      </c>
      <c r="C1672" s="29"/>
      <c r="D1672" s="29"/>
      <c r="E1672" s="29"/>
      <c r="F1672" s="53" t="s">
        <v>550</v>
      </c>
      <c r="G1672" s="125">
        <v>610</v>
      </c>
      <c r="H1672" s="29" t="s">
        <v>338</v>
      </c>
      <c r="I1672" s="15">
        <f>20144+720</f>
        <v>20864</v>
      </c>
      <c r="J1672" s="15">
        <v>19004</v>
      </c>
      <c r="K1672" s="15">
        <v>18933</v>
      </c>
      <c r="L1672" s="15">
        <v>17774.240000000002</v>
      </c>
      <c r="M1672" s="15">
        <v>0</v>
      </c>
      <c r="N1672" s="15"/>
      <c r="O1672" s="15"/>
      <c r="P1672" s="15"/>
      <c r="Q1672" s="15"/>
      <c r="R1672" s="15"/>
      <c r="T1672" s="15">
        <f t="shared" si="470"/>
        <v>20864</v>
      </c>
    </row>
    <row r="1673" spans="2:20" x14ac:dyDescent="0.25">
      <c r="B1673" s="97">
        <f t="shared" si="476"/>
        <v>883</v>
      </c>
      <c r="C1673" s="29"/>
      <c r="D1673" s="29"/>
      <c r="E1673" s="29"/>
      <c r="F1673" s="53" t="s">
        <v>550</v>
      </c>
      <c r="G1673" s="125">
        <v>620</v>
      </c>
      <c r="H1673" s="29" t="s">
        <v>313</v>
      </c>
      <c r="I1673" s="15">
        <f>7240+252</f>
        <v>7492</v>
      </c>
      <c r="J1673" s="15">
        <v>6642</v>
      </c>
      <c r="K1673" s="15">
        <v>6642</v>
      </c>
      <c r="L1673" s="15">
        <v>6050</v>
      </c>
      <c r="M1673" s="15">
        <v>0</v>
      </c>
      <c r="N1673" s="15"/>
      <c r="O1673" s="15"/>
      <c r="P1673" s="15"/>
      <c r="Q1673" s="15"/>
      <c r="R1673" s="15"/>
      <c r="T1673" s="15">
        <f t="shared" si="470"/>
        <v>7492</v>
      </c>
    </row>
    <row r="1674" spans="2:20" x14ac:dyDescent="0.25">
      <c r="B1674" s="97">
        <f t="shared" si="476"/>
        <v>884</v>
      </c>
      <c r="C1674" s="29"/>
      <c r="D1674" s="29"/>
      <c r="E1674" s="29"/>
      <c r="F1674" s="53" t="s">
        <v>550</v>
      </c>
      <c r="G1674" s="125">
        <v>630</v>
      </c>
      <c r="H1674" s="29" t="s">
        <v>303</v>
      </c>
      <c r="I1674" s="15">
        <f>I1675+I1676+I1677+I1678</f>
        <v>13680</v>
      </c>
      <c r="J1674" s="15">
        <f t="shared" ref="J1674:M1674" si="486">J1678+J1677+J1676+J1675</f>
        <v>13050</v>
      </c>
      <c r="K1674" s="15">
        <f t="shared" si="486"/>
        <v>13050</v>
      </c>
      <c r="L1674" s="15">
        <f t="shared" si="486"/>
        <v>12795.02</v>
      </c>
      <c r="M1674" s="15">
        <f t="shared" si="486"/>
        <v>0</v>
      </c>
      <c r="N1674" s="15"/>
      <c r="O1674" s="15"/>
      <c r="P1674" s="15"/>
      <c r="Q1674" s="15"/>
      <c r="R1674" s="15"/>
      <c r="T1674" s="15">
        <f t="shared" si="470"/>
        <v>13680</v>
      </c>
    </row>
    <row r="1675" spans="2:20" x14ac:dyDescent="0.25">
      <c r="B1675" s="97">
        <f t="shared" si="476"/>
        <v>885</v>
      </c>
      <c r="C1675" s="9"/>
      <c r="D1675" s="9"/>
      <c r="E1675" s="9"/>
      <c r="F1675" s="54" t="s">
        <v>550</v>
      </c>
      <c r="G1675" s="126">
        <v>632</v>
      </c>
      <c r="H1675" s="9" t="s">
        <v>314</v>
      </c>
      <c r="I1675" s="10">
        <v>9130</v>
      </c>
      <c r="J1675" s="10">
        <v>8464</v>
      </c>
      <c r="K1675" s="10">
        <v>8464</v>
      </c>
      <c r="L1675" s="10">
        <v>5159</v>
      </c>
      <c r="M1675" s="10">
        <v>0</v>
      </c>
      <c r="N1675" s="10"/>
      <c r="O1675" s="10"/>
      <c r="P1675" s="10"/>
      <c r="Q1675" s="10"/>
      <c r="R1675" s="10"/>
      <c r="T1675" s="10">
        <f t="shared" si="470"/>
        <v>9130</v>
      </c>
    </row>
    <row r="1676" spans="2:20" x14ac:dyDescent="0.25">
      <c r="B1676" s="97">
        <f t="shared" si="476"/>
        <v>886</v>
      </c>
      <c r="C1676" s="9"/>
      <c r="D1676" s="9"/>
      <c r="E1676" s="9"/>
      <c r="F1676" s="54" t="s">
        <v>550</v>
      </c>
      <c r="G1676" s="126">
        <v>633</v>
      </c>
      <c r="H1676" s="9" t="s">
        <v>305</v>
      </c>
      <c r="I1676" s="10">
        <v>800</v>
      </c>
      <c r="J1676" s="10">
        <v>2060</v>
      </c>
      <c r="K1676" s="10">
        <v>2060</v>
      </c>
      <c r="L1676" s="10">
        <v>4071</v>
      </c>
      <c r="M1676" s="10">
        <v>0</v>
      </c>
      <c r="N1676" s="10"/>
      <c r="O1676" s="10"/>
      <c r="P1676" s="10"/>
      <c r="Q1676" s="10"/>
      <c r="R1676" s="10"/>
      <c r="T1676" s="10">
        <f t="shared" si="470"/>
        <v>800</v>
      </c>
    </row>
    <row r="1677" spans="2:20" x14ac:dyDescent="0.25">
      <c r="B1677" s="97">
        <f t="shared" si="476"/>
        <v>887</v>
      </c>
      <c r="C1677" s="9"/>
      <c r="D1677" s="9"/>
      <c r="E1677" s="9"/>
      <c r="F1677" s="54" t="s">
        <v>550</v>
      </c>
      <c r="G1677" s="126">
        <v>635</v>
      </c>
      <c r="H1677" s="9" t="s">
        <v>320</v>
      </c>
      <c r="I1677" s="10">
        <v>1700</v>
      </c>
      <c r="J1677" s="10">
        <v>900</v>
      </c>
      <c r="K1677" s="10">
        <v>900</v>
      </c>
      <c r="L1677" s="10">
        <v>1712</v>
      </c>
      <c r="M1677" s="10">
        <v>0</v>
      </c>
      <c r="N1677" s="10"/>
      <c r="O1677" s="10"/>
      <c r="P1677" s="10"/>
      <c r="Q1677" s="10"/>
      <c r="R1677" s="10"/>
      <c r="T1677" s="10">
        <f t="shared" si="470"/>
        <v>1700</v>
      </c>
    </row>
    <row r="1678" spans="2:20" x14ac:dyDescent="0.25">
      <c r="B1678" s="97">
        <f t="shared" si="476"/>
        <v>888</v>
      </c>
      <c r="C1678" s="9"/>
      <c r="D1678" s="9"/>
      <c r="E1678" s="9"/>
      <c r="F1678" s="54" t="s">
        <v>550</v>
      </c>
      <c r="G1678" s="126">
        <v>637</v>
      </c>
      <c r="H1678" s="9" t="s">
        <v>308</v>
      </c>
      <c r="I1678" s="10">
        <v>2050</v>
      </c>
      <c r="J1678" s="10">
        <v>1626</v>
      </c>
      <c r="K1678" s="10">
        <v>1626</v>
      </c>
      <c r="L1678" s="10">
        <v>1853.02</v>
      </c>
      <c r="M1678" s="10">
        <v>0</v>
      </c>
      <c r="N1678" s="10"/>
      <c r="O1678" s="10"/>
      <c r="P1678" s="10"/>
      <c r="Q1678" s="10"/>
      <c r="R1678" s="10"/>
      <c r="T1678" s="10">
        <f t="shared" si="470"/>
        <v>2050</v>
      </c>
    </row>
    <row r="1679" spans="2:20" x14ac:dyDescent="0.25">
      <c r="B1679" s="97">
        <f t="shared" si="476"/>
        <v>889</v>
      </c>
      <c r="C1679" s="29"/>
      <c r="D1679" s="29"/>
      <c r="E1679" s="29"/>
      <c r="F1679" s="53" t="s">
        <v>550</v>
      </c>
      <c r="G1679" s="125">
        <v>640</v>
      </c>
      <c r="H1679" s="29" t="s">
        <v>315</v>
      </c>
      <c r="I1679" s="15">
        <v>0</v>
      </c>
      <c r="J1679" s="15">
        <v>0</v>
      </c>
      <c r="K1679" s="15">
        <v>71</v>
      </c>
      <c r="L1679" s="15">
        <v>145</v>
      </c>
      <c r="M1679" s="15">
        <v>0</v>
      </c>
      <c r="N1679" s="15"/>
      <c r="O1679" s="15"/>
      <c r="P1679" s="15"/>
      <c r="Q1679" s="15"/>
      <c r="R1679" s="15"/>
      <c r="T1679" s="15">
        <f t="shared" si="470"/>
        <v>0</v>
      </c>
    </row>
    <row r="1680" spans="2:20" x14ac:dyDescent="0.25">
      <c r="B1680" s="97">
        <f t="shared" si="476"/>
        <v>890</v>
      </c>
      <c r="C1680" s="49"/>
      <c r="D1680" s="49"/>
      <c r="E1680" s="49">
        <v>10</v>
      </c>
      <c r="F1680" s="49"/>
      <c r="G1680" s="123"/>
      <c r="H1680" s="49" t="s">
        <v>188</v>
      </c>
      <c r="I1680" s="50">
        <f>I1682+I1683+I1684+I1689+I1690+I1691+I1692+I1697+I1698</f>
        <v>116450</v>
      </c>
      <c r="J1680" s="50">
        <f t="shared" ref="J1680:R1680" si="487">J1681</f>
        <v>97912</v>
      </c>
      <c r="K1680" s="50">
        <f t="shared" si="487"/>
        <v>99068</v>
      </c>
      <c r="L1680" s="50">
        <f t="shared" si="487"/>
        <v>93238</v>
      </c>
      <c r="M1680" s="50">
        <f t="shared" si="487"/>
        <v>80749</v>
      </c>
      <c r="N1680" s="50">
        <v>0</v>
      </c>
      <c r="O1680" s="50">
        <f t="shared" si="487"/>
        <v>0</v>
      </c>
      <c r="P1680" s="50">
        <f t="shared" si="487"/>
        <v>0</v>
      </c>
      <c r="Q1680" s="50">
        <f t="shared" si="487"/>
        <v>11760</v>
      </c>
      <c r="R1680" s="50">
        <f t="shared" si="487"/>
        <v>0</v>
      </c>
      <c r="T1680" s="50">
        <f t="shared" si="470"/>
        <v>116450</v>
      </c>
    </row>
    <row r="1681" spans="2:20" hidden="1" x14ac:dyDescent="0.25">
      <c r="B1681" s="97">
        <f t="shared" si="476"/>
        <v>891</v>
      </c>
      <c r="C1681" s="51"/>
      <c r="D1681" s="51"/>
      <c r="E1681" s="51" t="s">
        <v>60</v>
      </c>
      <c r="F1681" s="51"/>
      <c r="G1681" s="124"/>
      <c r="H1681" s="51"/>
      <c r="I1681" s="52" t="e">
        <f>#REF!+#REF!</f>
        <v>#REF!</v>
      </c>
      <c r="J1681" s="52">
        <f t="shared" ref="J1681:R1681" si="488">J1698+J1697+J1692+J1691+J1690+J1689+J1684+J1683+J1682</f>
        <v>97912</v>
      </c>
      <c r="K1681" s="52">
        <f t="shared" si="488"/>
        <v>99068</v>
      </c>
      <c r="L1681" s="52">
        <f t="shared" si="488"/>
        <v>93238</v>
      </c>
      <c r="M1681" s="52">
        <f t="shared" si="488"/>
        <v>80749</v>
      </c>
      <c r="N1681" s="52"/>
      <c r="O1681" s="52">
        <f t="shared" si="488"/>
        <v>0</v>
      </c>
      <c r="P1681" s="52">
        <f t="shared" si="488"/>
        <v>0</v>
      </c>
      <c r="Q1681" s="52">
        <f t="shared" si="488"/>
        <v>11760</v>
      </c>
      <c r="R1681" s="52">
        <f t="shared" si="488"/>
        <v>0</v>
      </c>
      <c r="T1681" s="52" t="e">
        <f t="shared" si="470"/>
        <v>#REF!</v>
      </c>
    </row>
    <row r="1682" spans="2:20" x14ac:dyDescent="0.25">
      <c r="B1682" s="97">
        <f t="shared" si="476"/>
        <v>892</v>
      </c>
      <c r="C1682" s="29"/>
      <c r="D1682" s="29"/>
      <c r="E1682" s="29"/>
      <c r="F1682" s="53" t="s">
        <v>554</v>
      </c>
      <c r="G1682" s="125">
        <v>610</v>
      </c>
      <c r="H1682" s="29" t="s">
        <v>338</v>
      </c>
      <c r="I1682" s="15">
        <f>23660+900</f>
        <v>24560</v>
      </c>
      <c r="J1682" s="15">
        <v>19970</v>
      </c>
      <c r="K1682" s="15">
        <v>19970</v>
      </c>
      <c r="L1682" s="15">
        <v>17356</v>
      </c>
      <c r="M1682" s="15">
        <v>34166</v>
      </c>
      <c r="N1682" s="15"/>
      <c r="O1682" s="15"/>
      <c r="P1682" s="15"/>
      <c r="Q1682" s="15"/>
      <c r="R1682" s="15"/>
      <c r="T1682" s="15">
        <f t="shared" si="470"/>
        <v>24560</v>
      </c>
    </row>
    <row r="1683" spans="2:20" x14ac:dyDescent="0.25">
      <c r="B1683" s="97">
        <f t="shared" si="476"/>
        <v>893</v>
      </c>
      <c r="C1683" s="29"/>
      <c r="D1683" s="29"/>
      <c r="E1683" s="29"/>
      <c r="F1683" s="53" t="s">
        <v>554</v>
      </c>
      <c r="G1683" s="125">
        <v>620</v>
      </c>
      <c r="H1683" s="29" t="s">
        <v>313</v>
      </c>
      <c r="I1683" s="15">
        <f>8270+315</f>
        <v>8585</v>
      </c>
      <c r="J1683" s="15">
        <v>6986</v>
      </c>
      <c r="K1683" s="15">
        <v>7286</v>
      </c>
      <c r="L1683" s="15">
        <v>5620</v>
      </c>
      <c r="M1683" s="15">
        <v>11973</v>
      </c>
      <c r="N1683" s="15"/>
      <c r="O1683" s="15"/>
      <c r="P1683" s="15"/>
      <c r="Q1683" s="15"/>
      <c r="R1683" s="15"/>
      <c r="T1683" s="15">
        <f t="shared" si="470"/>
        <v>8585</v>
      </c>
    </row>
    <row r="1684" spans="2:20" x14ac:dyDescent="0.25">
      <c r="B1684" s="97">
        <f t="shared" si="476"/>
        <v>894</v>
      </c>
      <c r="C1684" s="29"/>
      <c r="D1684" s="29"/>
      <c r="E1684" s="29"/>
      <c r="F1684" s="53" t="s">
        <v>554</v>
      </c>
      <c r="G1684" s="125">
        <v>630</v>
      </c>
      <c r="H1684" s="29" t="s">
        <v>303</v>
      </c>
      <c r="I1684" s="15">
        <f>I1685+I1686+I1687+I1688</f>
        <v>29880</v>
      </c>
      <c r="J1684" s="15">
        <f t="shared" ref="J1684:M1684" si="489">J1688+J1687+J1686+J1685</f>
        <v>17391</v>
      </c>
      <c r="K1684" s="15">
        <f t="shared" si="489"/>
        <v>17391</v>
      </c>
      <c r="L1684" s="15">
        <f t="shared" si="489"/>
        <v>19000</v>
      </c>
      <c r="M1684" s="15">
        <f t="shared" si="489"/>
        <v>34470</v>
      </c>
      <c r="N1684" s="15"/>
      <c r="O1684" s="15"/>
      <c r="P1684" s="15"/>
      <c r="Q1684" s="15"/>
      <c r="R1684" s="15"/>
      <c r="T1684" s="15">
        <f t="shared" si="470"/>
        <v>29880</v>
      </c>
    </row>
    <row r="1685" spans="2:20" x14ac:dyDescent="0.25">
      <c r="B1685" s="97">
        <f t="shared" si="476"/>
        <v>895</v>
      </c>
      <c r="C1685" s="9"/>
      <c r="D1685" s="9"/>
      <c r="E1685" s="9"/>
      <c r="F1685" s="54" t="s">
        <v>554</v>
      </c>
      <c r="G1685" s="126">
        <v>632</v>
      </c>
      <c r="H1685" s="9" t="s">
        <v>314</v>
      </c>
      <c r="I1685" s="10">
        <v>14850</v>
      </c>
      <c r="J1685" s="10">
        <v>12840</v>
      </c>
      <c r="K1685" s="10">
        <v>12840</v>
      </c>
      <c r="L1685" s="10">
        <v>13740</v>
      </c>
      <c r="M1685" s="10">
        <v>27870</v>
      </c>
      <c r="N1685" s="10"/>
      <c r="O1685" s="10"/>
      <c r="P1685" s="10"/>
      <c r="Q1685" s="10"/>
      <c r="R1685" s="10"/>
      <c r="T1685" s="10">
        <f t="shared" si="470"/>
        <v>14850</v>
      </c>
    </row>
    <row r="1686" spans="2:20" x14ac:dyDescent="0.25">
      <c r="B1686" s="97">
        <f t="shared" si="476"/>
        <v>896</v>
      </c>
      <c r="C1686" s="9"/>
      <c r="D1686" s="9"/>
      <c r="E1686" s="9"/>
      <c r="F1686" s="54" t="s">
        <v>554</v>
      </c>
      <c r="G1686" s="126">
        <v>633</v>
      </c>
      <c r="H1686" s="9" t="s">
        <v>305</v>
      </c>
      <c r="I1686" s="10">
        <v>11860</v>
      </c>
      <c r="J1686" s="10">
        <v>1795</v>
      </c>
      <c r="K1686" s="10">
        <v>1795</v>
      </c>
      <c r="L1686" s="10">
        <v>2825</v>
      </c>
      <c r="M1686" s="10">
        <v>2455</v>
      </c>
      <c r="N1686" s="10"/>
      <c r="O1686" s="10"/>
      <c r="P1686" s="10"/>
      <c r="Q1686" s="10"/>
      <c r="R1686" s="10"/>
      <c r="T1686" s="10">
        <f t="shared" si="470"/>
        <v>11860</v>
      </c>
    </row>
    <row r="1687" spans="2:20" x14ac:dyDescent="0.25">
      <c r="B1687" s="97">
        <f t="shared" si="476"/>
        <v>897</v>
      </c>
      <c r="C1687" s="9"/>
      <c r="D1687" s="9"/>
      <c r="E1687" s="9"/>
      <c r="F1687" s="54" t="s">
        <v>554</v>
      </c>
      <c r="G1687" s="126">
        <v>635</v>
      </c>
      <c r="H1687" s="9" t="s">
        <v>320</v>
      </c>
      <c r="I1687" s="10">
        <v>570</v>
      </c>
      <c r="J1687" s="10">
        <v>410</v>
      </c>
      <c r="K1687" s="10">
        <v>410</v>
      </c>
      <c r="L1687" s="10">
        <v>560</v>
      </c>
      <c r="M1687" s="10">
        <v>730</v>
      </c>
      <c r="N1687" s="10"/>
      <c r="O1687" s="10"/>
      <c r="P1687" s="10"/>
      <c r="Q1687" s="10"/>
      <c r="R1687" s="10"/>
      <c r="T1687" s="10">
        <f t="shared" si="470"/>
        <v>570</v>
      </c>
    </row>
    <row r="1688" spans="2:20" x14ac:dyDescent="0.25">
      <c r="B1688" s="97">
        <f t="shared" si="476"/>
        <v>898</v>
      </c>
      <c r="C1688" s="9"/>
      <c r="D1688" s="9"/>
      <c r="E1688" s="9"/>
      <c r="F1688" s="54" t="s">
        <v>554</v>
      </c>
      <c r="G1688" s="126">
        <v>637</v>
      </c>
      <c r="H1688" s="9" t="s">
        <v>308</v>
      </c>
      <c r="I1688" s="10">
        <v>2600</v>
      </c>
      <c r="J1688" s="10">
        <v>2346</v>
      </c>
      <c r="K1688" s="10">
        <v>2346</v>
      </c>
      <c r="L1688" s="10">
        <v>1875</v>
      </c>
      <c r="M1688" s="10">
        <v>3415</v>
      </c>
      <c r="N1688" s="10"/>
      <c r="O1688" s="10"/>
      <c r="P1688" s="10"/>
      <c r="Q1688" s="10"/>
      <c r="R1688" s="10"/>
      <c r="T1688" s="10">
        <f t="shared" si="470"/>
        <v>2600</v>
      </c>
    </row>
    <row r="1689" spans="2:20" x14ac:dyDescent="0.25">
      <c r="B1689" s="97">
        <f t="shared" si="476"/>
        <v>899</v>
      </c>
      <c r="C1689" s="29"/>
      <c r="D1689" s="29"/>
      <c r="E1689" s="29"/>
      <c r="F1689" s="53" t="s">
        <v>554</v>
      </c>
      <c r="G1689" s="125">
        <v>640</v>
      </c>
      <c r="H1689" s="29" t="s">
        <v>315</v>
      </c>
      <c r="I1689" s="15">
        <v>200</v>
      </c>
      <c r="J1689" s="15">
        <v>100</v>
      </c>
      <c r="K1689" s="15">
        <v>956</v>
      </c>
      <c r="L1689" s="15">
        <v>217</v>
      </c>
      <c r="M1689" s="15">
        <v>140</v>
      </c>
      <c r="N1689" s="15"/>
      <c r="O1689" s="15"/>
      <c r="P1689" s="15"/>
      <c r="Q1689" s="15"/>
      <c r="R1689" s="15"/>
      <c r="T1689" s="15">
        <f t="shared" ref="T1689:T1752" si="490">I1689+N1689</f>
        <v>200</v>
      </c>
    </row>
    <row r="1690" spans="2:20" x14ac:dyDescent="0.25">
      <c r="B1690" s="97">
        <f t="shared" si="476"/>
        <v>900</v>
      </c>
      <c r="C1690" s="29"/>
      <c r="D1690" s="29"/>
      <c r="E1690" s="29"/>
      <c r="F1690" s="53" t="s">
        <v>550</v>
      </c>
      <c r="G1690" s="125">
        <v>610</v>
      </c>
      <c r="H1690" s="29" t="s">
        <v>338</v>
      </c>
      <c r="I1690" s="15">
        <f>23660+900</f>
        <v>24560</v>
      </c>
      <c r="J1690" s="15">
        <v>24655</v>
      </c>
      <c r="K1690" s="15">
        <v>24655</v>
      </c>
      <c r="L1690" s="15">
        <v>22117</v>
      </c>
      <c r="M1690" s="15">
        <v>0</v>
      </c>
      <c r="N1690" s="15"/>
      <c r="O1690" s="15"/>
      <c r="P1690" s="15"/>
      <c r="Q1690" s="15"/>
      <c r="R1690" s="15"/>
      <c r="T1690" s="15">
        <f t="shared" si="490"/>
        <v>24560</v>
      </c>
    </row>
    <row r="1691" spans="2:20" x14ac:dyDescent="0.25">
      <c r="B1691" s="97">
        <f t="shared" si="476"/>
        <v>901</v>
      </c>
      <c r="C1691" s="29"/>
      <c r="D1691" s="29"/>
      <c r="E1691" s="29"/>
      <c r="F1691" s="53" t="s">
        <v>550</v>
      </c>
      <c r="G1691" s="125">
        <v>620</v>
      </c>
      <c r="H1691" s="29" t="s">
        <v>313</v>
      </c>
      <c r="I1691" s="15">
        <f>8270+315</f>
        <v>8585</v>
      </c>
      <c r="J1691" s="15">
        <v>8611</v>
      </c>
      <c r="K1691" s="15">
        <v>8611</v>
      </c>
      <c r="L1691" s="15">
        <v>6776</v>
      </c>
      <c r="M1691" s="15">
        <v>0</v>
      </c>
      <c r="N1691" s="15"/>
      <c r="O1691" s="15"/>
      <c r="P1691" s="15"/>
      <c r="Q1691" s="15"/>
      <c r="R1691" s="15"/>
      <c r="T1691" s="15">
        <f t="shared" si="490"/>
        <v>8585</v>
      </c>
    </row>
    <row r="1692" spans="2:20" x14ac:dyDescent="0.25">
      <c r="B1692" s="97">
        <f t="shared" si="476"/>
        <v>902</v>
      </c>
      <c r="C1692" s="29"/>
      <c r="D1692" s="29"/>
      <c r="E1692" s="29"/>
      <c r="F1692" s="53" t="s">
        <v>550</v>
      </c>
      <c r="G1692" s="125">
        <v>630</v>
      </c>
      <c r="H1692" s="29" t="s">
        <v>303</v>
      </c>
      <c r="I1692" s="15">
        <f>I1693+I1694+I1695+I1696</f>
        <v>19880</v>
      </c>
      <c r="J1692" s="15">
        <f t="shared" ref="J1692:M1692" si="491">J1696+J1695+J1694+J1693</f>
        <v>20099</v>
      </c>
      <c r="K1692" s="15">
        <f t="shared" si="491"/>
        <v>20099</v>
      </c>
      <c r="L1692" s="15">
        <f t="shared" si="491"/>
        <v>21955</v>
      </c>
      <c r="M1692" s="15">
        <f t="shared" si="491"/>
        <v>0</v>
      </c>
      <c r="N1692" s="15"/>
      <c r="O1692" s="15"/>
      <c r="P1692" s="15"/>
      <c r="Q1692" s="15"/>
      <c r="R1692" s="15"/>
      <c r="T1692" s="15">
        <f t="shared" si="490"/>
        <v>19880</v>
      </c>
    </row>
    <row r="1693" spans="2:20" x14ac:dyDescent="0.25">
      <c r="B1693" s="97">
        <f t="shared" si="476"/>
        <v>903</v>
      </c>
      <c r="C1693" s="9"/>
      <c r="D1693" s="9"/>
      <c r="E1693" s="9"/>
      <c r="F1693" s="54" t="s">
        <v>550</v>
      </c>
      <c r="G1693" s="126">
        <v>632</v>
      </c>
      <c r="H1693" s="9" t="s">
        <v>314</v>
      </c>
      <c r="I1693" s="10">
        <v>14850</v>
      </c>
      <c r="J1693" s="10">
        <v>15150</v>
      </c>
      <c r="K1693" s="10">
        <v>15150</v>
      </c>
      <c r="L1693" s="10">
        <v>16050</v>
      </c>
      <c r="M1693" s="10">
        <v>0</v>
      </c>
      <c r="N1693" s="10"/>
      <c r="O1693" s="10"/>
      <c r="P1693" s="10"/>
      <c r="Q1693" s="10"/>
      <c r="R1693" s="10"/>
      <c r="T1693" s="10">
        <f t="shared" si="490"/>
        <v>14850</v>
      </c>
    </row>
    <row r="1694" spans="2:20" x14ac:dyDescent="0.25">
      <c r="B1694" s="97">
        <f t="shared" si="476"/>
        <v>904</v>
      </c>
      <c r="C1694" s="9"/>
      <c r="D1694" s="9"/>
      <c r="E1694" s="9"/>
      <c r="F1694" s="54" t="s">
        <v>550</v>
      </c>
      <c r="G1694" s="126">
        <v>633</v>
      </c>
      <c r="H1694" s="9" t="s">
        <v>305</v>
      </c>
      <c r="I1694" s="10">
        <v>1860</v>
      </c>
      <c r="J1694" s="10">
        <v>1725</v>
      </c>
      <c r="K1694" s="10">
        <v>1725</v>
      </c>
      <c r="L1694" s="10">
        <v>2925</v>
      </c>
      <c r="M1694" s="10">
        <v>0</v>
      </c>
      <c r="N1694" s="10"/>
      <c r="O1694" s="10"/>
      <c r="P1694" s="10"/>
      <c r="Q1694" s="10"/>
      <c r="R1694" s="10"/>
      <c r="T1694" s="10">
        <f t="shared" si="490"/>
        <v>1860</v>
      </c>
    </row>
    <row r="1695" spans="2:20" x14ac:dyDescent="0.25">
      <c r="B1695" s="97">
        <f t="shared" si="476"/>
        <v>905</v>
      </c>
      <c r="C1695" s="9"/>
      <c r="D1695" s="9"/>
      <c r="E1695" s="9"/>
      <c r="F1695" s="54" t="s">
        <v>550</v>
      </c>
      <c r="G1695" s="126">
        <v>635</v>
      </c>
      <c r="H1695" s="9" t="s">
        <v>320</v>
      </c>
      <c r="I1695" s="10">
        <v>570</v>
      </c>
      <c r="J1695" s="10">
        <v>663</v>
      </c>
      <c r="K1695" s="10">
        <v>663</v>
      </c>
      <c r="L1695" s="10">
        <v>560</v>
      </c>
      <c r="M1695" s="10">
        <v>0</v>
      </c>
      <c r="N1695" s="10"/>
      <c r="O1695" s="10"/>
      <c r="P1695" s="10"/>
      <c r="Q1695" s="10"/>
      <c r="R1695" s="10"/>
      <c r="T1695" s="10">
        <f t="shared" si="490"/>
        <v>570</v>
      </c>
    </row>
    <row r="1696" spans="2:20" x14ac:dyDescent="0.25">
      <c r="B1696" s="97">
        <f t="shared" si="476"/>
        <v>906</v>
      </c>
      <c r="C1696" s="9"/>
      <c r="D1696" s="9"/>
      <c r="E1696" s="9"/>
      <c r="F1696" s="54" t="s">
        <v>550</v>
      </c>
      <c r="G1696" s="126">
        <v>637</v>
      </c>
      <c r="H1696" s="9" t="s">
        <v>308</v>
      </c>
      <c r="I1696" s="10">
        <v>2600</v>
      </c>
      <c r="J1696" s="10">
        <v>2561</v>
      </c>
      <c r="K1696" s="10">
        <v>2561</v>
      </c>
      <c r="L1696" s="10">
        <v>2420</v>
      </c>
      <c r="M1696" s="10">
        <v>0</v>
      </c>
      <c r="N1696" s="10"/>
      <c r="O1696" s="10"/>
      <c r="P1696" s="10"/>
      <c r="Q1696" s="10"/>
      <c r="R1696" s="10"/>
      <c r="T1696" s="10">
        <f t="shared" si="490"/>
        <v>2600</v>
      </c>
    </row>
    <row r="1697" spans="2:20" x14ac:dyDescent="0.25">
      <c r="B1697" s="97">
        <f t="shared" si="476"/>
        <v>907</v>
      </c>
      <c r="C1697" s="29"/>
      <c r="D1697" s="29"/>
      <c r="E1697" s="29"/>
      <c r="F1697" s="53" t="s">
        <v>550</v>
      </c>
      <c r="G1697" s="125">
        <v>640</v>
      </c>
      <c r="H1697" s="29" t="s">
        <v>315</v>
      </c>
      <c r="I1697" s="15">
        <v>200</v>
      </c>
      <c r="J1697" s="15">
        <v>100</v>
      </c>
      <c r="K1697" s="15">
        <v>100</v>
      </c>
      <c r="L1697" s="15">
        <v>197</v>
      </c>
      <c r="M1697" s="15">
        <v>0</v>
      </c>
      <c r="N1697" s="15"/>
      <c r="O1697" s="15"/>
      <c r="P1697" s="15"/>
      <c r="Q1697" s="15"/>
      <c r="R1697" s="15"/>
      <c r="T1697" s="15">
        <f t="shared" si="490"/>
        <v>200</v>
      </c>
    </row>
    <row r="1698" spans="2:20" x14ac:dyDescent="0.25">
      <c r="B1698" s="97">
        <f t="shared" si="476"/>
        <v>908</v>
      </c>
      <c r="C1698" s="29"/>
      <c r="D1698" s="29"/>
      <c r="E1698" s="29"/>
      <c r="F1698" s="53" t="s">
        <v>554</v>
      </c>
      <c r="G1698" s="125">
        <v>710</v>
      </c>
      <c r="H1698" s="29" t="s">
        <v>321</v>
      </c>
      <c r="I1698" s="15"/>
      <c r="J1698" s="15"/>
      <c r="K1698" s="15"/>
      <c r="L1698" s="15"/>
      <c r="M1698" s="15"/>
      <c r="N1698" s="15"/>
      <c r="O1698" s="15"/>
      <c r="P1698" s="15"/>
      <c r="Q1698" s="15">
        <f t="shared" ref="Q1698" si="492">Q1699</f>
        <v>11760</v>
      </c>
      <c r="R1698" s="15"/>
      <c r="T1698" s="15">
        <f t="shared" si="490"/>
        <v>0</v>
      </c>
    </row>
    <row r="1699" spans="2:20" x14ac:dyDescent="0.25">
      <c r="B1699" s="97">
        <f t="shared" si="476"/>
        <v>909</v>
      </c>
      <c r="C1699" s="9"/>
      <c r="D1699" s="9"/>
      <c r="E1699" s="9"/>
      <c r="F1699" s="54" t="s">
        <v>554</v>
      </c>
      <c r="G1699" s="126">
        <v>717</v>
      </c>
      <c r="H1699" s="9" t="s">
        <v>327</v>
      </c>
      <c r="I1699" s="10"/>
      <c r="J1699" s="10"/>
      <c r="K1699" s="10"/>
      <c r="L1699" s="10"/>
      <c r="M1699" s="10"/>
      <c r="N1699" s="10"/>
      <c r="O1699" s="10"/>
      <c r="P1699" s="10"/>
      <c r="Q1699" s="10">
        <v>11760</v>
      </c>
      <c r="R1699" s="10"/>
      <c r="T1699" s="10">
        <f t="shared" si="490"/>
        <v>0</v>
      </c>
    </row>
    <row r="1700" spans="2:20" x14ac:dyDescent="0.25">
      <c r="B1700" s="97">
        <f t="shared" si="476"/>
        <v>910</v>
      </c>
      <c r="C1700" s="49"/>
      <c r="D1700" s="49"/>
      <c r="E1700" s="49">
        <v>11</v>
      </c>
      <c r="F1700" s="49"/>
      <c r="G1700" s="123"/>
      <c r="H1700" s="49" t="s">
        <v>189</v>
      </c>
      <c r="I1700" s="50">
        <f>I1702+I1703+I1704+I1710+I1711+I1712+I1713+I1719+I1720</f>
        <v>111290</v>
      </c>
      <c r="J1700" s="50">
        <f t="shared" ref="J1700:R1700" si="493">J1701</f>
        <v>104990</v>
      </c>
      <c r="K1700" s="50">
        <f t="shared" si="493"/>
        <v>104990</v>
      </c>
      <c r="L1700" s="50">
        <f t="shared" si="493"/>
        <v>98790.450000000012</v>
      </c>
      <c r="M1700" s="50">
        <f t="shared" si="493"/>
        <v>82102</v>
      </c>
      <c r="N1700" s="50">
        <v>0</v>
      </c>
      <c r="O1700" s="50">
        <f t="shared" si="493"/>
        <v>0</v>
      </c>
      <c r="P1700" s="50">
        <f>P1701</f>
        <v>20000</v>
      </c>
      <c r="Q1700" s="50">
        <f t="shared" si="493"/>
        <v>0</v>
      </c>
      <c r="R1700" s="50">
        <f t="shared" si="493"/>
        <v>0</v>
      </c>
      <c r="T1700" s="50">
        <f t="shared" si="490"/>
        <v>111290</v>
      </c>
    </row>
    <row r="1701" spans="2:20" ht="20.25" hidden="1" customHeight="1" x14ac:dyDescent="0.25">
      <c r="B1701" s="97">
        <f t="shared" si="476"/>
        <v>911</v>
      </c>
      <c r="C1701" s="51"/>
      <c r="D1701" s="51"/>
      <c r="E1701" s="51" t="s">
        <v>60</v>
      </c>
      <c r="F1701" s="51"/>
      <c r="G1701" s="124"/>
      <c r="H1701" s="51"/>
      <c r="I1701" s="52">
        <f>I1702+I1703+I1704+I1710+I1711+I1712+I1713+I1719+I1720</f>
        <v>111290</v>
      </c>
      <c r="J1701" s="52">
        <f t="shared" ref="J1701:R1701" si="494">J1719+J1713+J1712+J1711+J1710+J1704+J1703+J1702</f>
        <v>104990</v>
      </c>
      <c r="K1701" s="52">
        <f t="shared" si="494"/>
        <v>104990</v>
      </c>
      <c r="L1701" s="52">
        <f t="shared" si="494"/>
        <v>98790.450000000012</v>
      </c>
      <c r="M1701" s="52">
        <f t="shared" si="494"/>
        <v>82102</v>
      </c>
      <c r="N1701" s="52"/>
      <c r="O1701" s="52">
        <f t="shared" si="494"/>
        <v>0</v>
      </c>
      <c r="P1701" s="52">
        <f>P1719+P1713+P1712+P1711+P1710+P1704+P1703+P1702+P1720</f>
        <v>20000</v>
      </c>
      <c r="Q1701" s="52">
        <f t="shared" si="494"/>
        <v>0</v>
      </c>
      <c r="R1701" s="52">
        <f t="shared" si="494"/>
        <v>0</v>
      </c>
      <c r="T1701" s="52">
        <f t="shared" si="490"/>
        <v>111290</v>
      </c>
    </row>
    <row r="1702" spans="2:20" x14ac:dyDescent="0.25">
      <c r="B1702" s="97">
        <f t="shared" si="476"/>
        <v>912</v>
      </c>
      <c r="C1702" s="29"/>
      <c r="D1702" s="29"/>
      <c r="E1702" s="29"/>
      <c r="F1702" s="53" t="s">
        <v>554</v>
      </c>
      <c r="G1702" s="125">
        <v>610</v>
      </c>
      <c r="H1702" s="29" t="s">
        <v>338</v>
      </c>
      <c r="I1702" s="15">
        <v>26009</v>
      </c>
      <c r="J1702" s="15">
        <v>24537</v>
      </c>
      <c r="K1702" s="15">
        <v>24537</v>
      </c>
      <c r="L1702" s="15">
        <v>16225.92</v>
      </c>
      <c r="M1702" s="15">
        <v>49810</v>
      </c>
      <c r="N1702" s="15"/>
      <c r="O1702" s="15"/>
      <c r="P1702" s="15"/>
      <c r="Q1702" s="15"/>
      <c r="R1702" s="15"/>
      <c r="T1702" s="15">
        <f t="shared" si="490"/>
        <v>26009</v>
      </c>
    </row>
    <row r="1703" spans="2:20" x14ac:dyDescent="0.25">
      <c r="B1703" s="97">
        <f t="shared" si="476"/>
        <v>913</v>
      </c>
      <c r="C1703" s="29"/>
      <c r="D1703" s="29"/>
      <c r="E1703" s="29"/>
      <c r="F1703" s="53" t="s">
        <v>554</v>
      </c>
      <c r="G1703" s="125">
        <v>620</v>
      </c>
      <c r="H1703" s="29" t="s">
        <v>313</v>
      </c>
      <c r="I1703" s="15">
        <v>9103</v>
      </c>
      <c r="J1703" s="15">
        <v>8588</v>
      </c>
      <c r="K1703" s="15">
        <v>8588</v>
      </c>
      <c r="L1703" s="15">
        <v>5993.39</v>
      </c>
      <c r="M1703" s="15">
        <v>17584</v>
      </c>
      <c r="N1703" s="15"/>
      <c r="O1703" s="15"/>
      <c r="P1703" s="15"/>
      <c r="Q1703" s="15"/>
      <c r="R1703" s="15"/>
      <c r="T1703" s="15">
        <f t="shared" si="490"/>
        <v>9103</v>
      </c>
    </row>
    <row r="1704" spans="2:20" x14ac:dyDescent="0.25">
      <c r="B1704" s="97">
        <f t="shared" si="476"/>
        <v>914</v>
      </c>
      <c r="C1704" s="29"/>
      <c r="D1704" s="29"/>
      <c r="E1704" s="29"/>
      <c r="F1704" s="53" t="s">
        <v>554</v>
      </c>
      <c r="G1704" s="125">
        <v>630</v>
      </c>
      <c r="H1704" s="29" t="s">
        <v>303</v>
      </c>
      <c r="I1704" s="15">
        <f>I1705+I1706+I1707+I1708+I1709</f>
        <v>6335</v>
      </c>
      <c r="J1704" s="15">
        <f t="shared" ref="J1704:M1704" si="495">J1709+J1708+J1707+J1706+J1705</f>
        <v>5975</v>
      </c>
      <c r="K1704" s="15">
        <f t="shared" si="495"/>
        <v>5975</v>
      </c>
      <c r="L1704" s="15">
        <f t="shared" si="495"/>
        <v>8927.380000000001</v>
      </c>
      <c r="M1704" s="15">
        <f t="shared" si="495"/>
        <v>14644</v>
      </c>
      <c r="N1704" s="15"/>
      <c r="O1704" s="15"/>
      <c r="P1704" s="15"/>
      <c r="Q1704" s="15"/>
      <c r="R1704" s="15"/>
      <c r="T1704" s="15">
        <f t="shared" si="490"/>
        <v>6335</v>
      </c>
    </row>
    <row r="1705" spans="2:20" x14ac:dyDescent="0.25">
      <c r="B1705" s="97">
        <f t="shared" ref="B1705:B1771" si="496">B1704+1</f>
        <v>915</v>
      </c>
      <c r="C1705" s="9"/>
      <c r="D1705" s="9"/>
      <c r="E1705" s="9"/>
      <c r="F1705" s="54" t="s">
        <v>554</v>
      </c>
      <c r="G1705" s="126">
        <v>631</v>
      </c>
      <c r="H1705" s="9" t="s">
        <v>304</v>
      </c>
      <c r="I1705" s="10">
        <v>21</v>
      </c>
      <c r="J1705" s="10">
        <v>20</v>
      </c>
      <c r="K1705" s="10">
        <v>20</v>
      </c>
      <c r="L1705" s="10"/>
      <c r="M1705" s="10">
        <v>0</v>
      </c>
      <c r="N1705" s="10"/>
      <c r="O1705" s="10"/>
      <c r="P1705" s="10"/>
      <c r="Q1705" s="10"/>
      <c r="R1705" s="10"/>
      <c r="T1705" s="10">
        <f t="shared" si="490"/>
        <v>21</v>
      </c>
    </row>
    <row r="1706" spans="2:20" x14ac:dyDescent="0.25">
      <c r="B1706" s="97">
        <f t="shared" si="496"/>
        <v>916</v>
      </c>
      <c r="C1706" s="9"/>
      <c r="D1706" s="9"/>
      <c r="E1706" s="9"/>
      <c r="F1706" s="54" t="s">
        <v>554</v>
      </c>
      <c r="G1706" s="126">
        <v>632</v>
      </c>
      <c r="H1706" s="9" t="s">
        <v>314</v>
      </c>
      <c r="I1706" s="10">
        <v>803</v>
      </c>
      <c r="J1706" s="10">
        <v>1860</v>
      </c>
      <c r="K1706" s="10">
        <v>1860</v>
      </c>
      <c r="L1706" s="10">
        <v>807</v>
      </c>
      <c r="M1706" s="10">
        <v>303</v>
      </c>
      <c r="N1706" s="10"/>
      <c r="O1706" s="10"/>
      <c r="P1706" s="10"/>
      <c r="Q1706" s="10"/>
      <c r="R1706" s="10"/>
      <c r="T1706" s="10">
        <f t="shared" si="490"/>
        <v>803</v>
      </c>
    </row>
    <row r="1707" spans="2:20" x14ac:dyDescent="0.25">
      <c r="B1707" s="97">
        <f t="shared" si="496"/>
        <v>917</v>
      </c>
      <c r="C1707" s="9"/>
      <c r="D1707" s="9"/>
      <c r="E1707" s="9"/>
      <c r="F1707" s="54" t="s">
        <v>554</v>
      </c>
      <c r="G1707" s="126">
        <v>633</v>
      </c>
      <c r="H1707" s="9" t="s">
        <v>305</v>
      </c>
      <c r="I1707" s="10">
        <v>2480</v>
      </c>
      <c r="J1707" s="10">
        <v>1561</v>
      </c>
      <c r="K1707" s="10">
        <v>1561</v>
      </c>
      <c r="L1707" s="10">
        <v>3999.66</v>
      </c>
      <c r="M1707" s="10">
        <v>3863</v>
      </c>
      <c r="N1707" s="10"/>
      <c r="O1707" s="10"/>
      <c r="P1707" s="10"/>
      <c r="Q1707" s="10"/>
      <c r="R1707" s="10"/>
      <c r="T1707" s="10">
        <f t="shared" si="490"/>
        <v>2480</v>
      </c>
    </row>
    <row r="1708" spans="2:20" x14ac:dyDescent="0.25">
      <c r="B1708" s="97">
        <f t="shared" si="496"/>
        <v>918</v>
      </c>
      <c r="C1708" s="9"/>
      <c r="D1708" s="9"/>
      <c r="E1708" s="9"/>
      <c r="F1708" s="54" t="s">
        <v>554</v>
      </c>
      <c r="G1708" s="126">
        <v>635</v>
      </c>
      <c r="H1708" s="9" t="s">
        <v>320</v>
      </c>
      <c r="I1708" s="10">
        <v>665</v>
      </c>
      <c r="J1708" s="10">
        <v>347</v>
      </c>
      <c r="K1708" s="10">
        <v>347</v>
      </c>
      <c r="L1708" s="10">
        <v>1792.72</v>
      </c>
      <c r="M1708" s="10">
        <v>4459</v>
      </c>
      <c r="N1708" s="10"/>
      <c r="O1708" s="10"/>
      <c r="P1708" s="10"/>
      <c r="Q1708" s="10"/>
      <c r="R1708" s="10"/>
      <c r="T1708" s="10">
        <f t="shared" si="490"/>
        <v>665</v>
      </c>
    </row>
    <row r="1709" spans="2:20" x14ac:dyDescent="0.25">
      <c r="B1709" s="97">
        <f t="shared" si="496"/>
        <v>919</v>
      </c>
      <c r="C1709" s="9"/>
      <c r="D1709" s="9"/>
      <c r="E1709" s="9"/>
      <c r="F1709" s="54" t="s">
        <v>554</v>
      </c>
      <c r="G1709" s="126">
        <v>637</v>
      </c>
      <c r="H1709" s="9" t="s">
        <v>308</v>
      </c>
      <c r="I1709" s="10">
        <v>2366</v>
      </c>
      <c r="J1709" s="10">
        <v>2187</v>
      </c>
      <c r="K1709" s="10">
        <v>2187</v>
      </c>
      <c r="L1709" s="10">
        <v>2328</v>
      </c>
      <c r="M1709" s="10">
        <v>6019</v>
      </c>
      <c r="N1709" s="10"/>
      <c r="O1709" s="10"/>
      <c r="P1709" s="10"/>
      <c r="Q1709" s="10"/>
      <c r="R1709" s="10"/>
      <c r="T1709" s="10">
        <f t="shared" si="490"/>
        <v>2366</v>
      </c>
    </row>
    <row r="1710" spans="2:20" x14ac:dyDescent="0.25">
      <c r="B1710" s="97">
        <f t="shared" si="496"/>
        <v>920</v>
      </c>
      <c r="C1710" s="29"/>
      <c r="D1710" s="29"/>
      <c r="E1710" s="29"/>
      <c r="F1710" s="53" t="s">
        <v>554</v>
      </c>
      <c r="G1710" s="125">
        <v>640</v>
      </c>
      <c r="H1710" s="29" t="s">
        <v>315</v>
      </c>
      <c r="I1710" s="15">
        <v>113</v>
      </c>
      <c r="J1710" s="15">
        <v>107</v>
      </c>
      <c r="K1710" s="15">
        <v>107</v>
      </c>
      <c r="L1710" s="15">
        <v>1499</v>
      </c>
      <c r="M1710" s="15">
        <v>64</v>
      </c>
      <c r="N1710" s="15"/>
      <c r="O1710" s="15"/>
      <c r="P1710" s="15"/>
      <c r="Q1710" s="15"/>
      <c r="R1710" s="15"/>
      <c r="T1710" s="15">
        <f t="shared" si="490"/>
        <v>113</v>
      </c>
    </row>
    <row r="1711" spans="2:20" x14ac:dyDescent="0.25">
      <c r="B1711" s="97">
        <f t="shared" si="496"/>
        <v>921</v>
      </c>
      <c r="C1711" s="29"/>
      <c r="D1711" s="29"/>
      <c r="E1711" s="29"/>
      <c r="F1711" s="53" t="s">
        <v>550</v>
      </c>
      <c r="G1711" s="125">
        <v>610</v>
      </c>
      <c r="H1711" s="29" t="s">
        <v>338</v>
      </c>
      <c r="I1711" s="15">
        <v>44487</v>
      </c>
      <c r="J1711" s="15">
        <v>41969</v>
      </c>
      <c r="K1711" s="15">
        <v>41969</v>
      </c>
      <c r="L1711" s="15">
        <v>39641.25</v>
      </c>
      <c r="M1711" s="15">
        <v>0</v>
      </c>
      <c r="N1711" s="15"/>
      <c r="O1711" s="15"/>
      <c r="P1711" s="15"/>
      <c r="Q1711" s="15"/>
      <c r="R1711" s="15"/>
      <c r="T1711" s="15">
        <f t="shared" si="490"/>
        <v>44487</v>
      </c>
    </row>
    <row r="1712" spans="2:20" x14ac:dyDescent="0.25">
      <c r="B1712" s="97">
        <f t="shared" si="496"/>
        <v>922</v>
      </c>
      <c r="C1712" s="29"/>
      <c r="D1712" s="29"/>
      <c r="E1712" s="29"/>
      <c r="F1712" s="53" t="s">
        <v>550</v>
      </c>
      <c r="G1712" s="125">
        <v>620</v>
      </c>
      <c r="H1712" s="29" t="s">
        <v>313</v>
      </c>
      <c r="I1712" s="15">
        <v>15571</v>
      </c>
      <c r="J1712" s="15">
        <v>14690</v>
      </c>
      <c r="K1712" s="15">
        <v>14690</v>
      </c>
      <c r="L1712" s="15">
        <v>11534.44</v>
      </c>
      <c r="M1712" s="15">
        <v>0</v>
      </c>
      <c r="N1712" s="15"/>
      <c r="O1712" s="15"/>
      <c r="P1712" s="15"/>
      <c r="Q1712" s="15"/>
      <c r="R1712" s="15"/>
      <c r="T1712" s="15">
        <f t="shared" si="490"/>
        <v>15571</v>
      </c>
    </row>
    <row r="1713" spans="2:20" x14ac:dyDescent="0.25">
      <c r="B1713" s="97">
        <f t="shared" si="496"/>
        <v>923</v>
      </c>
      <c r="C1713" s="29"/>
      <c r="D1713" s="29"/>
      <c r="E1713" s="29"/>
      <c r="F1713" s="53" t="s">
        <v>550</v>
      </c>
      <c r="G1713" s="125">
        <v>630</v>
      </c>
      <c r="H1713" s="29" t="s">
        <v>303</v>
      </c>
      <c r="I1713" s="15">
        <f>I1714+I1715+I1716+I1717+I1718</f>
        <v>9501</v>
      </c>
      <c r="J1713" s="15">
        <f t="shared" ref="J1713:M1713" si="497">J1718+J1717+J1716+J1715+J1714</f>
        <v>8963</v>
      </c>
      <c r="K1713" s="15">
        <f t="shared" si="497"/>
        <v>8963</v>
      </c>
      <c r="L1713" s="15">
        <f t="shared" si="497"/>
        <v>14778.05</v>
      </c>
      <c r="M1713" s="15">
        <f t="shared" si="497"/>
        <v>0</v>
      </c>
      <c r="N1713" s="15"/>
      <c r="O1713" s="15"/>
      <c r="P1713" s="15"/>
      <c r="Q1713" s="15"/>
      <c r="R1713" s="15"/>
      <c r="T1713" s="15">
        <f t="shared" si="490"/>
        <v>9501</v>
      </c>
    </row>
    <row r="1714" spans="2:20" x14ac:dyDescent="0.25">
      <c r="B1714" s="97">
        <f t="shared" si="496"/>
        <v>924</v>
      </c>
      <c r="C1714" s="9"/>
      <c r="D1714" s="9"/>
      <c r="E1714" s="9"/>
      <c r="F1714" s="54" t="s">
        <v>550</v>
      </c>
      <c r="G1714" s="126">
        <v>631</v>
      </c>
      <c r="H1714" s="9" t="s">
        <v>304</v>
      </c>
      <c r="I1714" s="10">
        <v>31</v>
      </c>
      <c r="J1714" s="10">
        <v>31</v>
      </c>
      <c r="K1714" s="10">
        <v>31</v>
      </c>
      <c r="L1714" s="10"/>
      <c r="M1714" s="10">
        <v>0</v>
      </c>
      <c r="N1714" s="10"/>
      <c r="O1714" s="10"/>
      <c r="P1714" s="10"/>
      <c r="Q1714" s="10"/>
      <c r="R1714" s="10"/>
      <c r="T1714" s="10">
        <f t="shared" si="490"/>
        <v>31</v>
      </c>
    </row>
    <row r="1715" spans="2:20" x14ac:dyDescent="0.25">
      <c r="B1715" s="97">
        <f t="shared" si="496"/>
        <v>925</v>
      </c>
      <c r="C1715" s="9"/>
      <c r="D1715" s="9"/>
      <c r="E1715" s="9"/>
      <c r="F1715" s="54" t="s">
        <v>550</v>
      </c>
      <c r="G1715" s="126">
        <v>632</v>
      </c>
      <c r="H1715" s="9" t="s">
        <v>314</v>
      </c>
      <c r="I1715" s="10">
        <v>1205</v>
      </c>
      <c r="J1715" s="10">
        <v>2791</v>
      </c>
      <c r="K1715" s="10">
        <v>2791</v>
      </c>
      <c r="L1715" s="10">
        <v>3035</v>
      </c>
      <c r="M1715" s="10">
        <v>0</v>
      </c>
      <c r="N1715" s="10"/>
      <c r="O1715" s="10"/>
      <c r="P1715" s="10"/>
      <c r="Q1715" s="10"/>
      <c r="R1715" s="10"/>
      <c r="T1715" s="10">
        <f t="shared" si="490"/>
        <v>1205</v>
      </c>
    </row>
    <row r="1716" spans="2:20" x14ac:dyDescent="0.25">
      <c r="B1716" s="97">
        <f t="shared" si="496"/>
        <v>926</v>
      </c>
      <c r="C1716" s="9"/>
      <c r="D1716" s="9"/>
      <c r="E1716" s="9"/>
      <c r="F1716" s="54" t="s">
        <v>550</v>
      </c>
      <c r="G1716" s="126">
        <v>633</v>
      </c>
      <c r="H1716" s="9" t="s">
        <v>305</v>
      </c>
      <c r="I1716" s="10">
        <v>3715</v>
      </c>
      <c r="J1716" s="10">
        <v>2341</v>
      </c>
      <c r="K1716" s="10">
        <v>2341</v>
      </c>
      <c r="L1716" s="10">
        <v>6169.15</v>
      </c>
      <c r="M1716" s="10">
        <v>0</v>
      </c>
      <c r="N1716" s="10"/>
      <c r="O1716" s="10"/>
      <c r="P1716" s="10"/>
      <c r="Q1716" s="10"/>
      <c r="R1716" s="10"/>
      <c r="T1716" s="10">
        <f t="shared" si="490"/>
        <v>3715</v>
      </c>
    </row>
    <row r="1717" spans="2:20" x14ac:dyDescent="0.25">
      <c r="B1717" s="97">
        <f t="shared" si="496"/>
        <v>927</v>
      </c>
      <c r="C1717" s="9"/>
      <c r="D1717" s="9"/>
      <c r="E1717" s="9"/>
      <c r="F1717" s="54" t="s">
        <v>550</v>
      </c>
      <c r="G1717" s="126">
        <v>635</v>
      </c>
      <c r="H1717" s="9" t="s">
        <v>320</v>
      </c>
      <c r="I1717" s="10">
        <v>998</v>
      </c>
      <c r="J1717" s="10">
        <v>520</v>
      </c>
      <c r="K1717" s="10">
        <v>520</v>
      </c>
      <c r="L1717" s="10">
        <v>1556.9</v>
      </c>
      <c r="M1717" s="10">
        <v>0</v>
      </c>
      <c r="N1717" s="10"/>
      <c r="O1717" s="10"/>
      <c r="P1717" s="10"/>
      <c r="Q1717" s="10"/>
      <c r="R1717" s="10"/>
      <c r="T1717" s="10">
        <f t="shared" si="490"/>
        <v>998</v>
      </c>
    </row>
    <row r="1718" spans="2:20" x14ac:dyDescent="0.25">
      <c r="B1718" s="97">
        <f t="shared" si="496"/>
        <v>928</v>
      </c>
      <c r="C1718" s="9"/>
      <c r="D1718" s="9"/>
      <c r="E1718" s="9"/>
      <c r="F1718" s="54" t="s">
        <v>550</v>
      </c>
      <c r="G1718" s="126">
        <v>637</v>
      </c>
      <c r="H1718" s="9" t="s">
        <v>308</v>
      </c>
      <c r="I1718" s="10">
        <v>3552</v>
      </c>
      <c r="J1718" s="10">
        <v>3280</v>
      </c>
      <c r="K1718" s="10">
        <v>3280</v>
      </c>
      <c r="L1718" s="10">
        <v>4017</v>
      </c>
      <c r="M1718" s="10">
        <v>0</v>
      </c>
      <c r="N1718" s="10"/>
      <c r="O1718" s="10"/>
      <c r="P1718" s="10"/>
      <c r="Q1718" s="10"/>
      <c r="R1718" s="10"/>
      <c r="T1718" s="10">
        <f t="shared" si="490"/>
        <v>3552</v>
      </c>
    </row>
    <row r="1719" spans="2:20" x14ac:dyDescent="0.25">
      <c r="B1719" s="97">
        <f t="shared" si="496"/>
        <v>929</v>
      </c>
      <c r="C1719" s="29"/>
      <c r="D1719" s="29"/>
      <c r="E1719" s="29"/>
      <c r="F1719" s="53" t="s">
        <v>550</v>
      </c>
      <c r="G1719" s="125">
        <v>640</v>
      </c>
      <c r="H1719" s="29" t="s">
        <v>315</v>
      </c>
      <c r="I1719" s="15">
        <v>171</v>
      </c>
      <c r="J1719" s="15">
        <v>161</v>
      </c>
      <c r="K1719" s="15">
        <v>161</v>
      </c>
      <c r="L1719" s="15">
        <v>191.02</v>
      </c>
      <c r="M1719" s="15">
        <v>0</v>
      </c>
      <c r="N1719" s="15"/>
      <c r="O1719" s="15"/>
      <c r="P1719" s="15"/>
      <c r="Q1719" s="15"/>
      <c r="R1719" s="15"/>
      <c r="T1719" s="15">
        <f t="shared" si="490"/>
        <v>171</v>
      </c>
    </row>
    <row r="1720" spans="2:20" x14ac:dyDescent="0.25">
      <c r="B1720" s="97">
        <f t="shared" si="496"/>
        <v>930</v>
      </c>
      <c r="C1720" s="29"/>
      <c r="D1720" s="29"/>
      <c r="E1720" s="29"/>
      <c r="F1720" s="53" t="s">
        <v>554</v>
      </c>
      <c r="G1720" s="125">
        <v>710</v>
      </c>
      <c r="H1720" s="29" t="s">
        <v>321</v>
      </c>
      <c r="I1720" s="15"/>
      <c r="J1720" s="15"/>
      <c r="K1720" s="15"/>
      <c r="L1720" s="15"/>
      <c r="M1720" s="15"/>
      <c r="N1720" s="15"/>
      <c r="O1720" s="15"/>
      <c r="P1720" s="15">
        <f>P1721</f>
        <v>20000</v>
      </c>
      <c r="Q1720" s="15"/>
      <c r="R1720" s="15"/>
      <c r="T1720" s="15">
        <f t="shared" si="490"/>
        <v>0</v>
      </c>
    </row>
    <row r="1721" spans="2:20" x14ac:dyDescent="0.25">
      <c r="B1721" s="97">
        <f t="shared" si="496"/>
        <v>931</v>
      </c>
      <c r="C1721" s="29"/>
      <c r="D1721" s="29"/>
      <c r="E1721" s="29"/>
      <c r="F1721" s="54" t="s">
        <v>554</v>
      </c>
      <c r="G1721" s="126">
        <v>713</v>
      </c>
      <c r="H1721" s="9" t="s">
        <v>567</v>
      </c>
      <c r="I1721" s="15"/>
      <c r="J1721" s="15"/>
      <c r="K1721" s="15"/>
      <c r="L1721" s="15"/>
      <c r="M1721" s="15"/>
      <c r="N1721" s="15"/>
      <c r="O1721" s="15"/>
      <c r="P1721" s="16">
        <f>10000+10000</f>
        <v>20000</v>
      </c>
      <c r="Q1721" s="15"/>
      <c r="R1721" s="15"/>
      <c r="T1721" s="15">
        <f t="shared" si="490"/>
        <v>0</v>
      </c>
    </row>
    <row r="1722" spans="2:20" x14ac:dyDescent="0.25">
      <c r="B1722" s="97">
        <f t="shared" si="496"/>
        <v>932</v>
      </c>
      <c r="C1722" s="49"/>
      <c r="D1722" s="49"/>
      <c r="E1722" s="49">
        <v>12</v>
      </c>
      <c r="F1722" s="49"/>
      <c r="G1722" s="123"/>
      <c r="H1722" s="49" t="s">
        <v>190</v>
      </c>
      <c r="I1722" s="50">
        <f>I1724+I1725+I1726+I1732+I1733+I1734+I1735+I1741+I1742</f>
        <v>104675</v>
      </c>
      <c r="J1722" s="50">
        <f t="shared" ref="J1722:R1722" si="498">J1723</f>
        <v>88146</v>
      </c>
      <c r="K1722" s="50">
        <f t="shared" si="498"/>
        <v>88146</v>
      </c>
      <c r="L1722" s="50">
        <f t="shared" si="498"/>
        <v>82893.42</v>
      </c>
      <c r="M1722" s="50">
        <f t="shared" si="498"/>
        <v>76970</v>
      </c>
      <c r="N1722" s="50">
        <f>N1742</f>
        <v>33000</v>
      </c>
      <c r="O1722" s="50">
        <f t="shared" si="498"/>
        <v>40000</v>
      </c>
      <c r="P1722" s="50">
        <f t="shared" si="498"/>
        <v>40000</v>
      </c>
      <c r="Q1722" s="50">
        <f t="shared" si="498"/>
        <v>15000</v>
      </c>
      <c r="R1722" s="50">
        <f t="shared" si="498"/>
        <v>0</v>
      </c>
      <c r="T1722" s="50">
        <f t="shared" si="490"/>
        <v>137675</v>
      </c>
    </row>
    <row r="1723" spans="2:20" hidden="1" x14ac:dyDescent="0.25">
      <c r="B1723" s="97">
        <f t="shared" si="496"/>
        <v>933</v>
      </c>
      <c r="C1723" s="51"/>
      <c r="D1723" s="51"/>
      <c r="E1723" s="51" t="s">
        <v>60</v>
      </c>
      <c r="F1723" s="51"/>
      <c r="G1723" s="124"/>
      <c r="H1723" s="51"/>
      <c r="I1723" s="52" t="e">
        <f>#REF!+#REF!</f>
        <v>#REF!</v>
      </c>
      <c r="J1723" s="52">
        <f t="shared" ref="J1723:R1723" si="499">J1742+J1741+J1735+J1734+J1733+J1732+J1726+J1725+J1724</f>
        <v>88146</v>
      </c>
      <c r="K1723" s="52">
        <f t="shared" si="499"/>
        <v>88146</v>
      </c>
      <c r="L1723" s="52">
        <f t="shared" si="499"/>
        <v>82893.42</v>
      </c>
      <c r="M1723" s="52">
        <f t="shared" si="499"/>
        <v>76970</v>
      </c>
      <c r="N1723" s="52"/>
      <c r="O1723" s="52">
        <f t="shared" si="499"/>
        <v>40000</v>
      </c>
      <c r="P1723" s="52">
        <f t="shared" si="499"/>
        <v>40000</v>
      </c>
      <c r="Q1723" s="52">
        <f t="shared" si="499"/>
        <v>15000</v>
      </c>
      <c r="R1723" s="52">
        <f t="shared" si="499"/>
        <v>0</v>
      </c>
      <c r="T1723" s="52" t="e">
        <f t="shared" si="490"/>
        <v>#REF!</v>
      </c>
    </row>
    <row r="1724" spans="2:20" x14ac:dyDescent="0.25">
      <c r="B1724" s="97">
        <f t="shared" si="496"/>
        <v>934</v>
      </c>
      <c r="C1724" s="29"/>
      <c r="D1724" s="29"/>
      <c r="E1724" s="29"/>
      <c r="F1724" s="53" t="s">
        <v>554</v>
      </c>
      <c r="G1724" s="125">
        <v>610</v>
      </c>
      <c r="H1724" s="29" t="s">
        <v>338</v>
      </c>
      <c r="I1724" s="15">
        <f>26475+1020</f>
        <v>27495</v>
      </c>
      <c r="J1724" s="15">
        <v>23606</v>
      </c>
      <c r="K1724" s="15">
        <v>23606</v>
      </c>
      <c r="L1724" s="15">
        <v>21955</v>
      </c>
      <c r="M1724" s="15">
        <v>45321</v>
      </c>
      <c r="N1724" s="15"/>
      <c r="O1724" s="15"/>
      <c r="P1724" s="15"/>
      <c r="Q1724" s="15"/>
      <c r="R1724" s="15"/>
      <c r="T1724" s="15">
        <f t="shared" si="490"/>
        <v>27495</v>
      </c>
    </row>
    <row r="1725" spans="2:20" x14ac:dyDescent="0.25">
      <c r="B1725" s="97">
        <f t="shared" si="496"/>
        <v>935</v>
      </c>
      <c r="C1725" s="29"/>
      <c r="D1725" s="29"/>
      <c r="E1725" s="29"/>
      <c r="F1725" s="53" t="s">
        <v>554</v>
      </c>
      <c r="G1725" s="125">
        <v>620</v>
      </c>
      <c r="H1725" s="29" t="s">
        <v>313</v>
      </c>
      <c r="I1725" s="15">
        <f>10150+360</f>
        <v>10510</v>
      </c>
      <c r="J1725" s="15">
        <v>8900</v>
      </c>
      <c r="K1725" s="15">
        <v>8900</v>
      </c>
      <c r="L1725" s="15">
        <v>7639</v>
      </c>
      <c r="M1725" s="15">
        <v>18033</v>
      </c>
      <c r="N1725" s="15"/>
      <c r="O1725" s="15"/>
      <c r="P1725" s="15"/>
      <c r="Q1725" s="15"/>
      <c r="R1725" s="15"/>
      <c r="T1725" s="15">
        <f t="shared" si="490"/>
        <v>10510</v>
      </c>
    </row>
    <row r="1726" spans="2:20" x14ac:dyDescent="0.25">
      <c r="B1726" s="97">
        <f t="shared" si="496"/>
        <v>936</v>
      </c>
      <c r="C1726" s="29"/>
      <c r="D1726" s="29"/>
      <c r="E1726" s="29"/>
      <c r="F1726" s="53" t="s">
        <v>554</v>
      </c>
      <c r="G1726" s="125">
        <v>630</v>
      </c>
      <c r="H1726" s="29" t="s">
        <v>303</v>
      </c>
      <c r="I1726" s="15">
        <f>I1727+I1728+I1729+I1730+I1731</f>
        <v>9175</v>
      </c>
      <c r="J1726" s="15">
        <f t="shared" ref="J1726:M1726" si="500">J1731+J1730+J1729+J1728+J1727</f>
        <v>6932</v>
      </c>
      <c r="K1726" s="15">
        <f t="shared" si="500"/>
        <v>6932</v>
      </c>
      <c r="L1726" s="15">
        <f t="shared" si="500"/>
        <v>7560.6299999999992</v>
      </c>
      <c r="M1726" s="15">
        <f t="shared" si="500"/>
        <v>11884</v>
      </c>
      <c r="N1726" s="15"/>
      <c r="O1726" s="15"/>
      <c r="P1726" s="15"/>
      <c r="Q1726" s="15"/>
      <c r="R1726" s="15"/>
      <c r="T1726" s="15">
        <f t="shared" si="490"/>
        <v>9175</v>
      </c>
    </row>
    <row r="1727" spans="2:20" x14ac:dyDescent="0.25">
      <c r="B1727" s="97">
        <f t="shared" si="496"/>
        <v>937</v>
      </c>
      <c r="C1727" s="9"/>
      <c r="D1727" s="9"/>
      <c r="E1727" s="9"/>
      <c r="F1727" s="54" t="s">
        <v>554</v>
      </c>
      <c r="G1727" s="126">
        <v>631</v>
      </c>
      <c r="H1727" s="9" t="s">
        <v>304</v>
      </c>
      <c r="I1727" s="10">
        <v>0</v>
      </c>
      <c r="J1727" s="10">
        <v>21</v>
      </c>
      <c r="K1727" s="10">
        <v>21</v>
      </c>
      <c r="L1727" s="10">
        <v>0</v>
      </c>
      <c r="M1727" s="10">
        <v>43</v>
      </c>
      <c r="N1727" s="10"/>
      <c r="O1727" s="10"/>
      <c r="P1727" s="10"/>
      <c r="Q1727" s="10"/>
      <c r="R1727" s="10"/>
      <c r="T1727" s="10">
        <f t="shared" si="490"/>
        <v>0</v>
      </c>
    </row>
    <row r="1728" spans="2:20" x14ac:dyDescent="0.25">
      <c r="B1728" s="97">
        <f t="shared" si="496"/>
        <v>938</v>
      </c>
      <c r="C1728" s="9"/>
      <c r="D1728" s="9"/>
      <c r="E1728" s="9"/>
      <c r="F1728" s="54" t="s">
        <v>554</v>
      </c>
      <c r="G1728" s="126">
        <v>632</v>
      </c>
      <c r="H1728" s="9" t="s">
        <v>314</v>
      </c>
      <c r="I1728" s="10">
        <v>3480</v>
      </c>
      <c r="J1728" s="10">
        <v>3259</v>
      </c>
      <c r="K1728" s="10">
        <v>3259</v>
      </c>
      <c r="L1728" s="10">
        <v>3545.74</v>
      </c>
      <c r="M1728" s="10">
        <v>6961</v>
      </c>
      <c r="N1728" s="10"/>
      <c r="O1728" s="10"/>
      <c r="P1728" s="10"/>
      <c r="Q1728" s="10"/>
      <c r="R1728" s="10"/>
      <c r="T1728" s="10">
        <f t="shared" si="490"/>
        <v>3480</v>
      </c>
    </row>
    <row r="1729" spans="2:20" x14ac:dyDescent="0.25">
      <c r="B1729" s="97">
        <f t="shared" si="496"/>
        <v>939</v>
      </c>
      <c r="C1729" s="9"/>
      <c r="D1729" s="9"/>
      <c r="E1729" s="9"/>
      <c r="F1729" s="54" t="s">
        <v>554</v>
      </c>
      <c r="G1729" s="126">
        <v>633</v>
      </c>
      <c r="H1729" s="9" t="s">
        <v>305</v>
      </c>
      <c r="I1729" s="10">
        <v>3115</v>
      </c>
      <c r="J1729" s="10">
        <v>1240</v>
      </c>
      <c r="K1729" s="10">
        <v>1240</v>
      </c>
      <c r="L1729" s="10">
        <v>1437.36</v>
      </c>
      <c r="M1729" s="10">
        <v>2170</v>
      </c>
      <c r="N1729" s="10"/>
      <c r="O1729" s="10"/>
      <c r="P1729" s="10"/>
      <c r="Q1729" s="10"/>
      <c r="R1729" s="10"/>
      <c r="T1729" s="10">
        <f t="shared" si="490"/>
        <v>3115</v>
      </c>
    </row>
    <row r="1730" spans="2:20" x14ac:dyDescent="0.25">
      <c r="B1730" s="97">
        <f t="shared" si="496"/>
        <v>940</v>
      </c>
      <c r="C1730" s="9"/>
      <c r="D1730" s="9"/>
      <c r="E1730" s="9"/>
      <c r="F1730" s="54" t="s">
        <v>554</v>
      </c>
      <c r="G1730" s="126">
        <v>635</v>
      </c>
      <c r="H1730" s="9" t="s">
        <v>320</v>
      </c>
      <c r="I1730" s="10">
        <v>1670</v>
      </c>
      <c r="J1730" s="10">
        <v>1560</v>
      </c>
      <c r="K1730" s="10">
        <v>1560</v>
      </c>
      <c r="L1730" s="10">
        <v>1957.05</v>
      </c>
      <c r="M1730" s="10">
        <v>1601</v>
      </c>
      <c r="N1730" s="10"/>
      <c r="O1730" s="10"/>
      <c r="P1730" s="10"/>
      <c r="Q1730" s="10"/>
      <c r="R1730" s="10"/>
      <c r="T1730" s="10">
        <f t="shared" si="490"/>
        <v>1670</v>
      </c>
    </row>
    <row r="1731" spans="2:20" x14ac:dyDescent="0.25">
      <c r="B1731" s="97">
        <f t="shared" si="496"/>
        <v>941</v>
      </c>
      <c r="C1731" s="9"/>
      <c r="D1731" s="9"/>
      <c r="E1731" s="9"/>
      <c r="F1731" s="54" t="s">
        <v>554</v>
      </c>
      <c r="G1731" s="126">
        <v>637</v>
      </c>
      <c r="H1731" s="9" t="s">
        <v>308</v>
      </c>
      <c r="I1731" s="10">
        <v>910</v>
      </c>
      <c r="J1731" s="10">
        <v>852</v>
      </c>
      <c r="K1731" s="10">
        <v>852</v>
      </c>
      <c r="L1731" s="10">
        <v>620.48</v>
      </c>
      <c r="M1731" s="10">
        <v>1109</v>
      </c>
      <c r="N1731" s="10"/>
      <c r="O1731" s="10"/>
      <c r="P1731" s="10"/>
      <c r="Q1731" s="10"/>
      <c r="R1731" s="10"/>
      <c r="T1731" s="10">
        <f t="shared" si="490"/>
        <v>910</v>
      </c>
    </row>
    <row r="1732" spans="2:20" x14ac:dyDescent="0.25">
      <c r="B1732" s="97">
        <f t="shared" si="496"/>
        <v>942</v>
      </c>
      <c r="C1732" s="29"/>
      <c r="D1732" s="29"/>
      <c r="E1732" s="29"/>
      <c r="F1732" s="53" t="s">
        <v>554</v>
      </c>
      <c r="G1732" s="125">
        <v>640</v>
      </c>
      <c r="H1732" s="29" t="s">
        <v>315</v>
      </c>
      <c r="I1732" s="15">
        <v>180</v>
      </c>
      <c r="J1732" s="15">
        <v>118</v>
      </c>
      <c r="K1732" s="15">
        <v>118</v>
      </c>
      <c r="L1732" s="15">
        <v>463</v>
      </c>
      <c r="M1732" s="15">
        <v>1732</v>
      </c>
      <c r="N1732" s="15"/>
      <c r="O1732" s="15"/>
      <c r="P1732" s="15"/>
      <c r="Q1732" s="15"/>
      <c r="R1732" s="15"/>
      <c r="T1732" s="15">
        <f t="shared" si="490"/>
        <v>180</v>
      </c>
    </row>
    <row r="1733" spans="2:20" x14ac:dyDescent="0.25">
      <c r="B1733" s="97">
        <f t="shared" si="496"/>
        <v>943</v>
      </c>
      <c r="C1733" s="29"/>
      <c r="D1733" s="29"/>
      <c r="E1733" s="29"/>
      <c r="F1733" s="53" t="s">
        <v>550</v>
      </c>
      <c r="G1733" s="125">
        <v>610</v>
      </c>
      <c r="H1733" s="29" t="s">
        <v>338</v>
      </c>
      <c r="I1733" s="15">
        <f>32360+1020</f>
        <v>33380</v>
      </c>
      <c r="J1733" s="15">
        <v>28925</v>
      </c>
      <c r="K1733" s="15">
        <v>28925</v>
      </c>
      <c r="L1733" s="15">
        <v>26797</v>
      </c>
      <c r="M1733" s="15">
        <v>0</v>
      </c>
      <c r="N1733" s="15"/>
      <c r="O1733" s="15"/>
      <c r="P1733" s="15"/>
      <c r="Q1733" s="15"/>
      <c r="R1733" s="15"/>
      <c r="T1733" s="15">
        <f t="shared" si="490"/>
        <v>33380</v>
      </c>
    </row>
    <row r="1734" spans="2:20" x14ac:dyDescent="0.25">
      <c r="B1734" s="97">
        <f t="shared" si="496"/>
        <v>944</v>
      </c>
      <c r="C1734" s="29"/>
      <c r="D1734" s="29"/>
      <c r="E1734" s="29"/>
      <c r="F1734" s="53" t="s">
        <v>550</v>
      </c>
      <c r="G1734" s="125">
        <v>620</v>
      </c>
      <c r="H1734" s="29" t="s">
        <v>313</v>
      </c>
      <c r="I1734" s="15">
        <f>12000+360</f>
        <v>12360</v>
      </c>
      <c r="J1734" s="15">
        <v>10876</v>
      </c>
      <c r="K1734" s="15">
        <v>10876</v>
      </c>
      <c r="L1734" s="15">
        <v>8599.89</v>
      </c>
      <c r="M1734" s="15">
        <v>0</v>
      </c>
      <c r="N1734" s="15"/>
      <c r="O1734" s="15"/>
      <c r="P1734" s="15"/>
      <c r="Q1734" s="15"/>
      <c r="R1734" s="15"/>
      <c r="T1734" s="15">
        <f t="shared" si="490"/>
        <v>12360</v>
      </c>
    </row>
    <row r="1735" spans="2:20" x14ac:dyDescent="0.25">
      <c r="B1735" s="97">
        <f t="shared" si="496"/>
        <v>945</v>
      </c>
      <c r="C1735" s="29"/>
      <c r="D1735" s="29"/>
      <c r="E1735" s="29"/>
      <c r="F1735" s="53" t="s">
        <v>550</v>
      </c>
      <c r="G1735" s="125">
        <v>630</v>
      </c>
      <c r="H1735" s="29" t="s">
        <v>303</v>
      </c>
      <c r="I1735" s="15">
        <f>I1736+I1737+I1738+I1739+I1740</f>
        <v>11375</v>
      </c>
      <c r="J1735" s="15">
        <f t="shared" ref="J1735:M1735" si="501">J1740+J1739+J1738+J1737+J1736</f>
        <v>8639</v>
      </c>
      <c r="K1735" s="15">
        <f t="shared" si="501"/>
        <v>8639</v>
      </c>
      <c r="L1735" s="15">
        <f t="shared" si="501"/>
        <v>9359.9000000000015</v>
      </c>
      <c r="M1735" s="15">
        <f t="shared" si="501"/>
        <v>0</v>
      </c>
      <c r="N1735" s="15"/>
      <c r="O1735" s="15"/>
      <c r="P1735" s="15"/>
      <c r="Q1735" s="15"/>
      <c r="R1735" s="15"/>
      <c r="T1735" s="15">
        <f t="shared" si="490"/>
        <v>11375</v>
      </c>
    </row>
    <row r="1736" spans="2:20" x14ac:dyDescent="0.25">
      <c r="B1736" s="97">
        <f t="shared" si="496"/>
        <v>946</v>
      </c>
      <c r="C1736" s="9"/>
      <c r="D1736" s="9"/>
      <c r="E1736" s="9"/>
      <c r="F1736" s="54" t="s">
        <v>550</v>
      </c>
      <c r="G1736" s="126">
        <v>631</v>
      </c>
      <c r="H1736" s="9" t="s">
        <v>304</v>
      </c>
      <c r="I1736" s="10">
        <v>0</v>
      </c>
      <c r="J1736" s="10">
        <v>31</v>
      </c>
      <c r="K1736" s="10">
        <v>31</v>
      </c>
      <c r="L1736" s="10">
        <v>0</v>
      </c>
      <c r="M1736" s="10">
        <v>0</v>
      </c>
      <c r="N1736" s="10"/>
      <c r="O1736" s="10"/>
      <c r="P1736" s="10"/>
      <c r="Q1736" s="10"/>
      <c r="R1736" s="10"/>
      <c r="T1736" s="10">
        <f t="shared" si="490"/>
        <v>0</v>
      </c>
    </row>
    <row r="1737" spans="2:20" x14ac:dyDescent="0.25">
      <c r="B1737" s="97">
        <f t="shared" si="496"/>
        <v>947</v>
      </c>
      <c r="C1737" s="9"/>
      <c r="D1737" s="9"/>
      <c r="E1737" s="9"/>
      <c r="F1737" s="54" t="s">
        <v>550</v>
      </c>
      <c r="G1737" s="126">
        <v>632</v>
      </c>
      <c r="H1737" s="9" t="s">
        <v>314</v>
      </c>
      <c r="I1737" s="10">
        <v>4400</v>
      </c>
      <c r="J1737" s="10">
        <v>4147</v>
      </c>
      <c r="K1737" s="10">
        <v>4147</v>
      </c>
      <c r="L1737" s="10">
        <v>4139.2</v>
      </c>
      <c r="M1737" s="10">
        <v>0</v>
      </c>
      <c r="N1737" s="10"/>
      <c r="O1737" s="10"/>
      <c r="P1737" s="10"/>
      <c r="Q1737" s="10"/>
      <c r="R1737" s="10"/>
      <c r="T1737" s="10">
        <f t="shared" si="490"/>
        <v>4400</v>
      </c>
    </row>
    <row r="1738" spans="2:20" x14ac:dyDescent="0.25">
      <c r="B1738" s="97">
        <f t="shared" si="496"/>
        <v>948</v>
      </c>
      <c r="C1738" s="9"/>
      <c r="D1738" s="9"/>
      <c r="E1738" s="9"/>
      <c r="F1738" s="54" t="s">
        <v>550</v>
      </c>
      <c r="G1738" s="126">
        <v>633</v>
      </c>
      <c r="H1738" s="9" t="s">
        <v>305</v>
      </c>
      <c r="I1738" s="10">
        <v>3850</v>
      </c>
      <c r="J1738" s="10">
        <v>1515</v>
      </c>
      <c r="K1738" s="10">
        <v>1515</v>
      </c>
      <c r="L1738" s="10">
        <v>2187.69</v>
      </c>
      <c r="M1738" s="10">
        <v>0</v>
      </c>
      <c r="N1738" s="10"/>
      <c r="O1738" s="10"/>
      <c r="P1738" s="10"/>
      <c r="Q1738" s="10"/>
      <c r="R1738" s="10"/>
      <c r="T1738" s="10">
        <f t="shared" si="490"/>
        <v>3850</v>
      </c>
    </row>
    <row r="1739" spans="2:20" x14ac:dyDescent="0.25">
      <c r="B1739" s="97">
        <f t="shared" si="496"/>
        <v>949</v>
      </c>
      <c r="C1739" s="9"/>
      <c r="D1739" s="9"/>
      <c r="E1739" s="9"/>
      <c r="F1739" s="54" t="s">
        <v>550</v>
      </c>
      <c r="G1739" s="126">
        <v>635</v>
      </c>
      <c r="H1739" s="9" t="s">
        <v>320</v>
      </c>
      <c r="I1739" s="10">
        <v>2025</v>
      </c>
      <c r="J1739" s="10">
        <v>1910</v>
      </c>
      <c r="K1739" s="10">
        <v>1910</v>
      </c>
      <c r="L1739" s="10">
        <v>1559.01</v>
      </c>
      <c r="M1739" s="10">
        <v>0</v>
      </c>
      <c r="N1739" s="10"/>
      <c r="O1739" s="10"/>
      <c r="P1739" s="10"/>
      <c r="Q1739" s="10"/>
      <c r="R1739" s="10"/>
      <c r="T1739" s="10">
        <f t="shared" si="490"/>
        <v>2025</v>
      </c>
    </row>
    <row r="1740" spans="2:20" x14ac:dyDescent="0.25">
      <c r="B1740" s="97">
        <f t="shared" si="496"/>
        <v>950</v>
      </c>
      <c r="C1740" s="9"/>
      <c r="D1740" s="9"/>
      <c r="E1740" s="9"/>
      <c r="F1740" s="54" t="s">
        <v>550</v>
      </c>
      <c r="G1740" s="126">
        <v>637</v>
      </c>
      <c r="H1740" s="9" t="s">
        <v>308</v>
      </c>
      <c r="I1740" s="10">
        <v>1100</v>
      </c>
      <c r="J1740" s="10">
        <v>1036</v>
      </c>
      <c r="K1740" s="10">
        <v>1036</v>
      </c>
      <c r="L1740" s="10">
        <v>1474</v>
      </c>
      <c r="M1740" s="10">
        <v>0</v>
      </c>
      <c r="N1740" s="10"/>
      <c r="O1740" s="10"/>
      <c r="P1740" s="10"/>
      <c r="Q1740" s="10"/>
      <c r="R1740" s="10"/>
      <c r="T1740" s="10">
        <f t="shared" si="490"/>
        <v>1100</v>
      </c>
    </row>
    <row r="1741" spans="2:20" x14ac:dyDescent="0.25">
      <c r="B1741" s="97">
        <f t="shared" si="496"/>
        <v>951</v>
      </c>
      <c r="C1741" s="29"/>
      <c r="D1741" s="29"/>
      <c r="E1741" s="29"/>
      <c r="F1741" s="53" t="s">
        <v>550</v>
      </c>
      <c r="G1741" s="125">
        <v>640</v>
      </c>
      <c r="H1741" s="29" t="s">
        <v>315</v>
      </c>
      <c r="I1741" s="15">
        <v>200</v>
      </c>
      <c r="J1741" s="15">
        <v>150</v>
      </c>
      <c r="K1741" s="15">
        <v>150</v>
      </c>
      <c r="L1741" s="15">
        <v>519</v>
      </c>
      <c r="M1741" s="15">
        <v>0</v>
      </c>
      <c r="N1741" s="15"/>
      <c r="O1741" s="15"/>
      <c r="P1741" s="15"/>
      <c r="Q1741" s="15"/>
      <c r="R1741" s="15"/>
      <c r="T1741" s="15">
        <f t="shared" si="490"/>
        <v>200</v>
      </c>
    </row>
    <row r="1742" spans="2:20" x14ac:dyDescent="0.25">
      <c r="B1742" s="97">
        <f t="shared" si="496"/>
        <v>952</v>
      </c>
      <c r="C1742" s="29"/>
      <c r="D1742" s="29"/>
      <c r="E1742" s="29"/>
      <c r="F1742" s="53" t="s">
        <v>554</v>
      </c>
      <c r="G1742" s="125">
        <v>710</v>
      </c>
      <c r="H1742" s="29" t="s">
        <v>321</v>
      </c>
      <c r="I1742" s="15"/>
      <c r="J1742" s="15"/>
      <c r="K1742" s="15"/>
      <c r="L1742" s="15"/>
      <c r="M1742" s="15"/>
      <c r="N1742" s="15">
        <f>N1745</f>
        <v>33000</v>
      </c>
      <c r="O1742" s="15">
        <f t="shared" ref="O1742" si="502">O1745</f>
        <v>40000</v>
      </c>
      <c r="P1742" s="15">
        <f>P1743+P1745</f>
        <v>40000</v>
      </c>
      <c r="Q1742" s="15">
        <f>Q1745</f>
        <v>15000</v>
      </c>
      <c r="R1742" s="15"/>
      <c r="T1742" s="15">
        <f t="shared" si="490"/>
        <v>33000</v>
      </c>
    </row>
    <row r="1743" spans="2:20" x14ac:dyDescent="0.25">
      <c r="B1743" s="97">
        <f t="shared" si="496"/>
        <v>953</v>
      </c>
      <c r="C1743" s="29"/>
      <c r="D1743" s="29"/>
      <c r="E1743" s="29"/>
      <c r="F1743" s="55" t="s">
        <v>554</v>
      </c>
      <c r="G1743" s="128">
        <v>716</v>
      </c>
      <c r="H1743" s="56" t="s">
        <v>323</v>
      </c>
      <c r="I1743" s="15"/>
      <c r="J1743" s="15"/>
      <c r="K1743" s="15"/>
      <c r="L1743" s="15"/>
      <c r="M1743" s="15"/>
      <c r="N1743" s="15"/>
      <c r="O1743" s="15"/>
      <c r="P1743" s="16">
        <f>P1744</f>
        <v>5000</v>
      </c>
      <c r="Q1743" s="15"/>
      <c r="R1743" s="15"/>
      <c r="T1743" s="15">
        <f t="shared" si="490"/>
        <v>0</v>
      </c>
    </row>
    <row r="1744" spans="2:20" x14ac:dyDescent="0.25">
      <c r="B1744" s="97">
        <f t="shared" si="496"/>
        <v>954</v>
      </c>
      <c r="C1744" s="29"/>
      <c r="D1744" s="29"/>
      <c r="E1744" s="29"/>
      <c r="F1744" s="53"/>
      <c r="G1744" s="125"/>
      <c r="H1744" s="91" t="s">
        <v>839</v>
      </c>
      <c r="I1744" s="15"/>
      <c r="J1744" s="15"/>
      <c r="K1744" s="15"/>
      <c r="L1744" s="15"/>
      <c r="M1744" s="15"/>
      <c r="N1744" s="15"/>
      <c r="O1744" s="15"/>
      <c r="P1744" s="16">
        <v>5000</v>
      </c>
      <c r="Q1744" s="15"/>
      <c r="R1744" s="15"/>
      <c r="T1744" s="15">
        <f t="shared" si="490"/>
        <v>0</v>
      </c>
    </row>
    <row r="1745" spans="2:20" x14ac:dyDescent="0.25">
      <c r="B1745" s="97">
        <f t="shared" si="496"/>
        <v>955</v>
      </c>
      <c r="C1745" s="9"/>
      <c r="D1745" s="9"/>
      <c r="E1745" s="9"/>
      <c r="F1745" s="54" t="s">
        <v>554</v>
      </c>
      <c r="G1745" s="126">
        <v>717</v>
      </c>
      <c r="H1745" s="9" t="s">
        <v>327</v>
      </c>
      <c r="I1745" s="10"/>
      <c r="J1745" s="10"/>
      <c r="K1745" s="10"/>
      <c r="L1745" s="10"/>
      <c r="M1745" s="10"/>
      <c r="N1745" s="10">
        <f>N1746</f>
        <v>33000</v>
      </c>
      <c r="O1745" s="10">
        <f t="shared" ref="O1745:P1745" si="503">O1746</f>
        <v>40000</v>
      </c>
      <c r="P1745" s="10">
        <f t="shared" si="503"/>
        <v>35000</v>
      </c>
      <c r="Q1745" s="10">
        <v>15000</v>
      </c>
      <c r="R1745" s="10"/>
      <c r="T1745" s="10">
        <f t="shared" si="490"/>
        <v>33000</v>
      </c>
    </row>
    <row r="1746" spans="2:20" x14ac:dyDescent="0.25">
      <c r="B1746" s="97">
        <f t="shared" si="496"/>
        <v>956</v>
      </c>
      <c r="C1746" s="12"/>
      <c r="D1746" s="12"/>
      <c r="E1746" s="12"/>
      <c r="F1746" s="12"/>
      <c r="G1746" s="127"/>
      <c r="H1746" s="91" t="s">
        <v>839</v>
      </c>
      <c r="I1746" s="13"/>
      <c r="J1746" s="13"/>
      <c r="K1746" s="13"/>
      <c r="L1746" s="13"/>
      <c r="M1746" s="13"/>
      <c r="N1746" s="13">
        <v>33000</v>
      </c>
      <c r="O1746" s="13">
        <v>40000</v>
      </c>
      <c r="P1746" s="13">
        <v>35000</v>
      </c>
      <c r="Q1746" s="13"/>
      <c r="R1746" s="13"/>
      <c r="T1746" s="13">
        <f t="shared" si="490"/>
        <v>33000</v>
      </c>
    </row>
    <row r="1747" spans="2:20" x14ac:dyDescent="0.25">
      <c r="B1747" s="97">
        <f t="shared" si="496"/>
        <v>957</v>
      </c>
      <c r="C1747" s="49"/>
      <c r="D1747" s="49"/>
      <c r="E1747" s="49">
        <v>13</v>
      </c>
      <c r="F1747" s="49"/>
      <c r="G1747" s="123"/>
      <c r="H1747" s="49" t="s">
        <v>191</v>
      </c>
      <c r="I1747" s="50">
        <f>I1749+I1750+I1751+I1757+I1758+I1760+I1761+I1762+I1768+I1769</f>
        <v>79274</v>
      </c>
      <c r="J1747" s="50">
        <f t="shared" ref="J1747:R1747" si="504">J1748</f>
        <v>74787</v>
      </c>
      <c r="K1747" s="50">
        <f t="shared" si="504"/>
        <v>75299</v>
      </c>
      <c r="L1747" s="50">
        <f t="shared" si="504"/>
        <v>70589</v>
      </c>
      <c r="M1747" s="50">
        <f t="shared" si="504"/>
        <v>57626</v>
      </c>
      <c r="N1747" s="50">
        <v>0</v>
      </c>
      <c r="O1747" s="50">
        <f t="shared" si="504"/>
        <v>0</v>
      </c>
      <c r="P1747" s="50">
        <f t="shared" si="504"/>
        <v>0</v>
      </c>
      <c r="Q1747" s="50">
        <f t="shared" si="504"/>
        <v>9530</v>
      </c>
      <c r="R1747" s="50">
        <f t="shared" si="504"/>
        <v>0</v>
      </c>
      <c r="T1747" s="50">
        <f t="shared" si="490"/>
        <v>79274</v>
      </c>
    </row>
    <row r="1748" spans="2:20" ht="17.25" hidden="1" customHeight="1" x14ac:dyDescent="0.25">
      <c r="B1748" s="97">
        <f t="shared" si="496"/>
        <v>958</v>
      </c>
      <c r="C1748" s="51"/>
      <c r="D1748" s="51"/>
      <c r="E1748" s="51" t="s">
        <v>60</v>
      </c>
      <c r="F1748" s="51"/>
      <c r="G1748" s="124"/>
      <c r="H1748" s="51"/>
      <c r="I1748" s="52">
        <f>I1749+I1750+I1751+I1757+I1758+I1760+I1761+I1762+I1768+I1769</f>
        <v>79274</v>
      </c>
      <c r="J1748" s="52">
        <f t="shared" ref="J1748:P1748" si="505">J1768+J1762+J1761+J1760+J1757+J1751+J1750+J1749</f>
        <v>74787</v>
      </c>
      <c r="K1748" s="52">
        <f t="shared" si="505"/>
        <v>75299</v>
      </c>
      <c r="L1748" s="52">
        <f t="shared" si="505"/>
        <v>70589</v>
      </c>
      <c r="M1748" s="52">
        <f t="shared" si="505"/>
        <v>57626</v>
      </c>
      <c r="N1748" s="52"/>
      <c r="O1748" s="52">
        <f t="shared" si="505"/>
        <v>0</v>
      </c>
      <c r="P1748" s="52">
        <f t="shared" si="505"/>
        <v>0</v>
      </c>
      <c r="Q1748" s="52">
        <f>Q1768+Q1762+Q1761+Q1760+Q1757+Q1751+Q1750+Q1749+Q1769+Q1758</f>
        <v>9530</v>
      </c>
      <c r="R1748" s="52">
        <f>R1768+R1762+R1761+R1760+R1757+R1751+R1750+R1749</f>
        <v>0</v>
      </c>
      <c r="T1748" s="52">
        <f t="shared" si="490"/>
        <v>79274</v>
      </c>
    </row>
    <row r="1749" spans="2:20" x14ac:dyDescent="0.25">
      <c r="B1749" s="97">
        <f t="shared" si="496"/>
        <v>959</v>
      </c>
      <c r="C1749" s="29"/>
      <c r="D1749" s="29"/>
      <c r="E1749" s="29"/>
      <c r="F1749" s="53" t="s">
        <v>554</v>
      </c>
      <c r="G1749" s="125">
        <v>610</v>
      </c>
      <c r="H1749" s="29" t="s">
        <v>338</v>
      </c>
      <c r="I1749" s="15">
        <v>20846</v>
      </c>
      <c r="J1749" s="15">
        <v>19666</v>
      </c>
      <c r="K1749" s="15">
        <v>19666</v>
      </c>
      <c r="L1749" s="15">
        <v>19955</v>
      </c>
      <c r="M1749" s="15">
        <v>36926</v>
      </c>
      <c r="N1749" s="15"/>
      <c r="O1749" s="15"/>
      <c r="P1749" s="15"/>
      <c r="Q1749" s="15"/>
      <c r="R1749" s="15"/>
      <c r="T1749" s="15">
        <f t="shared" si="490"/>
        <v>20846</v>
      </c>
    </row>
    <row r="1750" spans="2:20" x14ac:dyDescent="0.25">
      <c r="B1750" s="97">
        <f t="shared" si="496"/>
        <v>960</v>
      </c>
      <c r="C1750" s="29"/>
      <c r="D1750" s="29"/>
      <c r="E1750" s="29"/>
      <c r="F1750" s="53" t="s">
        <v>554</v>
      </c>
      <c r="G1750" s="125">
        <v>620</v>
      </c>
      <c r="H1750" s="29" t="s">
        <v>313</v>
      </c>
      <c r="I1750" s="15">
        <v>7571</v>
      </c>
      <c r="J1750" s="15">
        <v>7142</v>
      </c>
      <c r="K1750" s="15">
        <v>7142</v>
      </c>
      <c r="L1750" s="15">
        <v>5100</v>
      </c>
      <c r="M1750" s="15">
        <v>11836</v>
      </c>
      <c r="N1750" s="15"/>
      <c r="O1750" s="15"/>
      <c r="P1750" s="15"/>
      <c r="Q1750" s="15"/>
      <c r="R1750" s="15"/>
      <c r="T1750" s="15">
        <f t="shared" si="490"/>
        <v>7571</v>
      </c>
    </row>
    <row r="1751" spans="2:20" x14ac:dyDescent="0.25">
      <c r="B1751" s="97">
        <f t="shared" si="496"/>
        <v>961</v>
      </c>
      <c r="C1751" s="29"/>
      <c r="D1751" s="29"/>
      <c r="E1751" s="29"/>
      <c r="F1751" s="53" t="s">
        <v>554</v>
      </c>
      <c r="G1751" s="125">
        <v>630</v>
      </c>
      <c r="H1751" s="29" t="s">
        <v>303</v>
      </c>
      <c r="I1751" s="15">
        <f>I1752+I1753+I1754+I1755+I1756</f>
        <v>7114</v>
      </c>
      <c r="J1751" s="15">
        <f t="shared" ref="J1751:L1751" si="506">J1756+J1754+J1753+J1752+J1755</f>
        <v>6711</v>
      </c>
      <c r="K1751" s="15">
        <f t="shared" si="506"/>
        <v>6711</v>
      </c>
      <c r="L1751" s="15">
        <f t="shared" si="506"/>
        <v>6599</v>
      </c>
      <c r="M1751" s="15">
        <f>M1756+M1754+M1753+M1752+M1755</f>
        <v>8725</v>
      </c>
      <c r="N1751" s="15"/>
      <c r="O1751" s="15"/>
      <c r="P1751" s="15"/>
      <c r="Q1751" s="15"/>
      <c r="R1751" s="15"/>
      <c r="T1751" s="15">
        <f t="shared" si="490"/>
        <v>7114</v>
      </c>
    </row>
    <row r="1752" spans="2:20" x14ac:dyDescent="0.25">
      <c r="B1752" s="97">
        <f t="shared" si="496"/>
        <v>962</v>
      </c>
      <c r="C1752" s="29"/>
      <c r="D1752" s="29"/>
      <c r="E1752" s="29"/>
      <c r="F1752" s="54" t="s">
        <v>562</v>
      </c>
      <c r="G1752" s="126">
        <v>631</v>
      </c>
      <c r="H1752" s="9" t="s">
        <v>304</v>
      </c>
      <c r="I1752" s="16">
        <v>0</v>
      </c>
      <c r="J1752" s="15"/>
      <c r="K1752" s="15"/>
      <c r="L1752" s="15"/>
      <c r="M1752" s="16">
        <v>45</v>
      </c>
      <c r="N1752" s="15"/>
      <c r="O1752" s="15"/>
      <c r="P1752" s="15"/>
      <c r="Q1752" s="15"/>
      <c r="R1752" s="15"/>
      <c r="T1752" s="15">
        <f t="shared" si="490"/>
        <v>0</v>
      </c>
    </row>
    <row r="1753" spans="2:20" x14ac:dyDescent="0.25">
      <c r="B1753" s="97">
        <f t="shared" si="496"/>
        <v>963</v>
      </c>
      <c r="C1753" s="9"/>
      <c r="D1753" s="9"/>
      <c r="E1753" s="9"/>
      <c r="F1753" s="54" t="s">
        <v>554</v>
      </c>
      <c r="G1753" s="126">
        <v>632</v>
      </c>
      <c r="H1753" s="9" t="s">
        <v>314</v>
      </c>
      <c r="I1753" s="10">
        <v>3322</v>
      </c>
      <c r="J1753" s="10">
        <v>2190</v>
      </c>
      <c r="K1753" s="10">
        <v>2190</v>
      </c>
      <c r="L1753" s="10">
        <v>3147</v>
      </c>
      <c r="M1753" s="10">
        <v>4200</v>
      </c>
      <c r="N1753" s="10"/>
      <c r="O1753" s="10"/>
      <c r="P1753" s="10"/>
      <c r="Q1753" s="10"/>
      <c r="R1753" s="10"/>
      <c r="T1753" s="10">
        <f t="shared" ref="T1753:T1806" si="507">I1753+N1753</f>
        <v>3322</v>
      </c>
    </row>
    <row r="1754" spans="2:20" x14ac:dyDescent="0.25">
      <c r="B1754" s="97">
        <f t="shared" si="496"/>
        <v>964</v>
      </c>
      <c r="C1754" s="9"/>
      <c r="D1754" s="9"/>
      <c r="E1754" s="9"/>
      <c r="F1754" s="54" t="s">
        <v>554</v>
      </c>
      <c r="G1754" s="126">
        <v>633</v>
      </c>
      <c r="H1754" s="9" t="s">
        <v>305</v>
      </c>
      <c r="I1754" s="10">
        <v>2212</v>
      </c>
      <c r="J1754" s="10">
        <v>3030</v>
      </c>
      <c r="K1754" s="10">
        <v>3030</v>
      </c>
      <c r="L1754" s="10">
        <v>1970</v>
      </c>
      <c r="M1754" s="10">
        <v>750</v>
      </c>
      <c r="N1754" s="10"/>
      <c r="O1754" s="10"/>
      <c r="P1754" s="10"/>
      <c r="Q1754" s="10"/>
      <c r="R1754" s="10"/>
      <c r="T1754" s="10">
        <f t="shared" si="507"/>
        <v>2212</v>
      </c>
    </row>
    <row r="1755" spans="2:20" x14ac:dyDescent="0.25">
      <c r="B1755" s="97">
        <f t="shared" si="496"/>
        <v>965</v>
      </c>
      <c r="C1755" s="9"/>
      <c r="D1755" s="9"/>
      <c r="E1755" s="9"/>
      <c r="F1755" s="54"/>
      <c r="G1755" s="126">
        <v>635</v>
      </c>
      <c r="H1755" s="9" t="s">
        <v>320</v>
      </c>
      <c r="I1755" s="10">
        <v>0</v>
      </c>
      <c r="J1755" s="10"/>
      <c r="K1755" s="10"/>
      <c r="L1755" s="10"/>
      <c r="M1755" s="10">
        <v>748</v>
      </c>
      <c r="N1755" s="10"/>
      <c r="O1755" s="10"/>
      <c r="P1755" s="10"/>
      <c r="Q1755" s="10"/>
      <c r="R1755" s="10"/>
      <c r="T1755" s="10">
        <f t="shared" si="507"/>
        <v>0</v>
      </c>
    </row>
    <row r="1756" spans="2:20" x14ac:dyDescent="0.25">
      <c r="B1756" s="97">
        <f t="shared" si="496"/>
        <v>966</v>
      </c>
      <c r="C1756" s="9"/>
      <c r="D1756" s="9"/>
      <c r="E1756" s="9"/>
      <c r="F1756" s="54" t="s">
        <v>554</v>
      </c>
      <c r="G1756" s="126">
        <v>637</v>
      </c>
      <c r="H1756" s="9" t="s">
        <v>308</v>
      </c>
      <c r="I1756" s="10">
        <v>1580</v>
      </c>
      <c r="J1756" s="10">
        <v>1491</v>
      </c>
      <c r="K1756" s="10">
        <v>1491</v>
      </c>
      <c r="L1756" s="10">
        <v>1482</v>
      </c>
      <c r="M1756" s="10">
        <v>2982</v>
      </c>
      <c r="N1756" s="10"/>
      <c r="O1756" s="10"/>
      <c r="P1756" s="10"/>
      <c r="Q1756" s="10"/>
      <c r="R1756" s="10"/>
      <c r="T1756" s="10">
        <f t="shared" si="507"/>
        <v>1580</v>
      </c>
    </row>
    <row r="1757" spans="2:20" x14ac:dyDescent="0.25">
      <c r="B1757" s="97">
        <f t="shared" si="496"/>
        <v>967</v>
      </c>
      <c r="C1757" s="29"/>
      <c r="D1757" s="29"/>
      <c r="E1757" s="29"/>
      <c r="F1757" s="53" t="s">
        <v>554</v>
      </c>
      <c r="G1757" s="125">
        <v>640</v>
      </c>
      <c r="H1757" s="29" t="s">
        <v>315</v>
      </c>
      <c r="I1757" s="15">
        <v>20</v>
      </c>
      <c r="J1757" s="15">
        <v>20</v>
      </c>
      <c r="K1757" s="15">
        <v>20</v>
      </c>
      <c r="L1757" s="15">
        <v>0</v>
      </c>
      <c r="M1757" s="15">
        <v>139</v>
      </c>
      <c r="N1757" s="15"/>
      <c r="O1757" s="15"/>
      <c r="P1757" s="15"/>
      <c r="Q1757" s="15"/>
      <c r="R1757" s="15"/>
      <c r="T1757" s="15">
        <f t="shared" si="507"/>
        <v>20</v>
      </c>
    </row>
    <row r="1758" spans="2:20" x14ac:dyDescent="0.25">
      <c r="B1758" s="97">
        <f t="shared" si="496"/>
        <v>968</v>
      </c>
      <c r="C1758" s="29"/>
      <c r="D1758" s="29"/>
      <c r="E1758" s="29"/>
      <c r="F1758" s="53" t="s">
        <v>554</v>
      </c>
      <c r="G1758" s="125">
        <v>710</v>
      </c>
      <c r="H1758" s="29" t="s">
        <v>321</v>
      </c>
      <c r="I1758" s="15"/>
      <c r="J1758" s="15"/>
      <c r="K1758" s="15"/>
      <c r="L1758" s="15"/>
      <c r="M1758" s="15"/>
      <c r="N1758" s="15"/>
      <c r="O1758" s="15"/>
      <c r="P1758" s="15"/>
      <c r="Q1758" s="15">
        <f>Q1759</f>
        <v>2520</v>
      </c>
      <c r="R1758" s="15"/>
      <c r="T1758" s="15">
        <f t="shared" si="507"/>
        <v>0</v>
      </c>
    </row>
    <row r="1759" spans="2:20" x14ac:dyDescent="0.25">
      <c r="B1759" s="97">
        <f t="shared" si="496"/>
        <v>969</v>
      </c>
      <c r="C1759" s="29"/>
      <c r="D1759" s="29"/>
      <c r="E1759" s="29"/>
      <c r="F1759" s="55" t="s">
        <v>554</v>
      </c>
      <c r="G1759" s="126">
        <v>713</v>
      </c>
      <c r="H1759" s="9" t="s">
        <v>360</v>
      </c>
      <c r="I1759" s="15"/>
      <c r="J1759" s="15"/>
      <c r="K1759" s="15"/>
      <c r="L1759" s="15"/>
      <c r="M1759" s="15"/>
      <c r="N1759" s="15"/>
      <c r="O1759" s="15"/>
      <c r="P1759" s="15"/>
      <c r="Q1759" s="16">
        <v>2520</v>
      </c>
      <c r="R1759" s="15"/>
      <c r="T1759" s="15">
        <f t="shared" si="507"/>
        <v>0</v>
      </c>
    </row>
    <row r="1760" spans="2:20" x14ac:dyDescent="0.25">
      <c r="B1760" s="97">
        <f t="shared" si="496"/>
        <v>970</v>
      </c>
      <c r="C1760" s="29"/>
      <c r="D1760" s="29"/>
      <c r="E1760" s="29"/>
      <c r="F1760" s="53" t="s">
        <v>550</v>
      </c>
      <c r="G1760" s="125">
        <v>610</v>
      </c>
      <c r="H1760" s="29" t="s">
        <v>338</v>
      </c>
      <c r="I1760" s="15">
        <v>25548</v>
      </c>
      <c r="J1760" s="15">
        <v>24102</v>
      </c>
      <c r="K1760" s="15">
        <v>21872</v>
      </c>
      <c r="L1760" s="15">
        <v>18571</v>
      </c>
      <c r="M1760" s="15">
        <v>0</v>
      </c>
      <c r="N1760" s="15"/>
      <c r="O1760" s="15"/>
      <c r="P1760" s="15"/>
      <c r="Q1760" s="15"/>
      <c r="R1760" s="15"/>
      <c r="T1760" s="15">
        <f t="shared" si="507"/>
        <v>25548</v>
      </c>
    </row>
    <row r="1761" spans="2:20" x14ac:dyDescent="0.25">
      <c r="B1761" s="97">
        <f t="shared" si="496"/>
        <v>971</v>
      </c>
      <c r="C1761" s="29"/>
      <c r="D1761" s="29"/>
      <c r="E1761" s="29"/>
      <c r="F1761" s="53" t="s">
        <v>550</v>
      </c>
      <c r="G1761" s="125">
        <v>620</v>
      </c>
      <c r="H1761" s="29" t="s">
        <v>313</v>
      </c>
      <c r="I1761" s="15">
        <v>9255</v>
      </c>
      <c r="J1761" s="15">
        <v>8730</v>
      </c>
      <c r="K1761" s="15">
        <v>7960</v>
      </c>
      <c r="L1761" s="15">
        <v>5613</v>
      </c>
      <c r="M1761" s="15">
        <v>0</v>
      </c>
      <c r="N1761" s="15"/>
      <c r="O1761" s="15"/>
      <c r="P1761" s="15"/>
      <c r="Q1761" s="15"/>
      <c r="R1761" s="15"/>
      <c r="T1761" s="15">
        <f t="shared" si="507"/>
        <v>9255</v>
      </c>
    </row>
    <row r="1762" spans="2:20" x14ac:dyDescent="0.25">
      <c r="B1762" s="97">
        <f t="shared" si="496"/>
        <v>972</v>
      </c>
      <c r="C1762" s="29"/>
      <c r="D1762" s="29"/>
      <c r="E1762" s="29"/>
      <c r="F1762" s="53" t="s">
        <v>550</v>
      </c>
      <c r="G1762" s="125">
        <v>630</v>
      </c>
      <c r="H1762" s="29" t="s">
        <v>303</v>
      </c>
      <c r="I1762" s="15">
        <f>I1763+I1764+I1765+I1766+I1767</f>
        <v>8890</v>
      </c>
      <c r="J1762" s="15">
        <f t="shared" ref="J1762:M1762" si="508">J1767+J1766+J1765+J1764+J1763</f>
        <v>8386</v>
      </c>
      <c r="K1762" s="15">
        <f t="shared" si="508"/>
        <v>11898</v>
      </c>
      <c r="L1762" s="15">
        <f t="shared" si="508"/>
        <v>14621</v>
      </c>
      <c r="M1762" s="15">
        <f t="shared" si="508"/>
        <v>0</v>
      </c>
      <c r="N1762" s="15"/>
      <c r="O1762" s="15"/>
      <c r="P1762" s="15"/>
      <c r="Q1762" s="15"/>
      <c r="R1762" s="15"/>
      <c r="T1762" s="15">
        <f t="shared" si="507"/>
        <v>8890</v>
      </c>
    </row>
    <row r="1763" spans="2:20" x14ac:dyDescent="0.25">
      <c r="B1763" s="97">
        <f t="shared" si="496"/>
        <v>973</v>
      </c>
      <c r="C1763" s="9"/>
      <c r="D1763" s="9"/>
      <c r="E1763" s="9"/>
      <c r="F1763" s="54" t="s">
        <v>550</v>
      </c>
      <c r="G1763" s="126">
        <v>631</v>
      </c>
      <c r="H1763" s="9" t="s">
        <v>304</v>
      </c>
      <c r="I1763" s="10">
        <v>55</v>
      </c>
      <c r="J1763" s="10">
        <v>51</v>
      </c>
      <c r="K1763" s="10">
        <v>51</v>
      </c>
      <c r="L1763" s="10">
        <v>0</v>
      </c>
      <c r="M1763" s="10">
        <v>0</v>
      </c>
      <c r="N1763" s="10"/>
      <c r="O1763" s="10"/>
      <c r="P1763" s="10"/>
      <c r="Q1763" s="10"/>
      <c r="R1763" s="10"/>
      <c r="T1763" s="10">
        <f t="shared" si="507"/>
        <v>55</v>
      </c>
    </row>
    <row r="1764" spans="2:20" x14ac:dyDescent="0.25">
      <c r="B1764" s="97">
        <f t="shared" si="496"/>
        <v>974</v>
      </c>
      <c r="C1764" s="9"/>
      <c r="D1764" s="9"/>
      <c r="E1764" s="9"/>
      <c r="F1764" s="54" t="s">
        <v>550</v>
      </c>
      <c r="G1764" s="126">
        <v>632</v>
      </c>
      <c r="H1764" s="9" t="s">
        <v>314</v>
      </c>
      <c r="I1764" s="10">
        <v>3070</v>
      </c>
      <c r="J1764" s="10">
        <v>2675</v>
      </c>
      <c r="K1764" s="10">
        <v>2675</v>
      </c>
      <c r="L1764" s="10">
        <v>5423</v>
      </c>
      <c r="M1764" s="10">
        <v>0</v>
      </c>
      <c r="N1764" s="10"/>
      <c r="O1764" s="10"/>
      <c r="P1764" s="10"/>
      <c r="Q1764" s="10"/>
      <c r="R1764" s="10"/>
      <c r="T1764" s="10">
        <f t="shared" si="507"/>
        <v>3070</v>
      </c>
    </row>
    <row r="1765" spans="2:20" x14ac:dyDescent="0.25">
      <c r="B1765" s="97">
        <f t="shared" si="496"/>
        <v>975</v>
      </c>
      <c r="C1765" s="9"/>
      <c r="D1765" s="9"/>
      <c r="E1765" s="9"/>
      <c r="F1765" s="54" t="s">
        <v>550</v>
      </c>
      <c r="G1765" s="126">
        <v>633</v>
      </c>
      <c r="H1765" s="9" t="s">
        <v>305</v>
      </c>
      <c r="I1765" s="10">
        <v>2865</v>
      </c>
      <c r="J1765" s="10">
        <v>3754</v>
      </c>
      <c r="K1765" s="10">
        <v>7266</v>
      </c>
      <c r="L1765" s="10">
        <v>5680</v>
      </c>
      <c r="M1765" s="10">
        <v>0</v>
      </c>
      <c r="N1765" s="10"/>
      <c r="O1765" s="10"/>
      <c r="P1765" s="10"/>
      <c r="Q1765" s="10"/>
      <c r="R1765" s="10"/>
      <c r="T1765" s="10">
        <f t="shared" si="507"/>
        <v>2865</v>
      </c>
    </row>
    <row r="1766" spans="2:20" x14ac:dyDescent="0.25">
      <c r="B1766" s="97">
        <f t="shared" si="496"/>
        <v>976</v>
      </c>
      <c r="C1766" s="9"/>
      <c r="D1766" s="9"/>
      <c r="E1766" s="9"/>
      <c r="F1766" s="54" t="s">
        <v>550</v>
      </c>
      <c r="G1766" s="126">
        <v>635</v>
      </c>
      <c r="H1766" s="9" t="s">
        <v>320</v>
      </c>
      <c r="I1766" s="10">
        <v>600</v>
      </c>
      <c r="J1766" s="10">
        <v>82</v>
      </c>
      <c r="K1766" s="10">
        <v>82</v>
      </c>
      <c r="L1766" s="10">
        <v>780</v>
      </c>
      <c r="M1766" s="10">
        <v>0</v>
      </c>
      <c r="N1766" s="10"/>
      <c r="O1766" s="10"/>
      <c r="P1766" s="10"/>
      <c r="Q1766" s="10"/>
      <c r="R1766" s="10"/>
      <c r="T1766" s="10">
        <f t="shared" si="507"/>
        <v>600</v>
      </c>
    </row>
    <row r="1767" spans="2:20" x14ac:dyDescent="0.25">
      <c r="B1767" s="97">
        <f t="shared" si="496"/>
        <v>977</v>
      </c>
      <c r="C1767" s="9"/>
      <c r="D1767" s="9"/>
      <c r="E1767" s="9"/>
      <c r="F1767" s="54" t="s">
        <v>550</v>
      </c>
      <c r="G1767" s="126">
        <v>637</v>
      </c>
      <c r="H1767" s="9" t="s">
        <v>308</v>
      </c>
      <c r="I1767" s="10">
        <v>2300</v>
      </c>
      <c r="J1767" s="10">
        <v>1824</v>
      </c>
      <c r="K1767" s="10">
        <v>1824</v>
      </c>
      <c r="L1767" s="10">
        <v>2738</v>
      </c>
      <c r="M1767" s="10">
        <v>0</v>
      </c>
      <c r="N1767" s="10"/>
      <c r="O1767" s="10"/>
      <c r="P1767" s="10"/>
      <c r="Q1767" s="10"/>
      <c r="R1767" s="10"/>
      <c r="T1767" s="10">
        <f t="shared" si="507"/>
        <v>2300</v>
      </c>
    </row>
    <row r="1768" spans="2:20" x14ac:dyDescent="0.25">
      <c r="B1768" s="97">
        <f t="shared" si="496"/>
        <v>978</v>
      </c>
      <c r="C1768" s="29"/>
      <c r="D1768" s="29"/>
      <c r="E1768" s="29"/>
      <c r="F1768" s="53" t="s">
        <v>550</v>
      </c>
      <c r="G1768" s="125">
        <v>640</v>
      </c>
      <c r="H1768" s="29" t="s">
        <v>315</v>
      </c>
      <c r="I1768" s="15">
        <v>30</v>
      </c>
      <c r="J1768" s="15">
        <v>30</v>
      </c>
      <c r="K1768" s="15">
        <v>30</v>
      </c>
      <c r="L1768" s="15">
        <v>130</v>
      </c>
      <c r="M1768" s="15">
        <v>0</v>
      </c>
      <c r="N1768" s="15"/>
      <c r="O1768" s="15"/>
      <c r="P1768" s="15"/>
      <c r="Q1768" s="15"/>
      <c r="R1768" s="15"/>
      <c r="T1768" s="15">
        <f t="shared" si="507"/>
        <v>30</v>
      </c>
    </row>
    <row r="1769" spans="2:20" x14ac:dyDescent="0.25">
      <c r="B1769" s="97">
        <f t="shared" si="496"/>
        <v>979</v>
      </c>
      <c r="C1769" s="29"/>
      <c r="D1769" s="61"/>
      <c r="E1769" s="62"/>
      <c r="F1769" s="53" t="s">
        <v>550</v>
      </c>
      <c r="G1769" s="125">
        <v>710</v>
      </c>
      <c r="H1769" s="29" t="s">
        <v>321</v>
      </c>
      <c r="I1769" s="15"/>
      <c r="J1769" s="15"/>
      <c r="K1769" s="15"/>
      <c r="L1769" s="15"/>
      <c r="M1769" s="15"/>
      <c r="N1769" s="15"/>
      <c r="O1769" s="15"/>
      <c r="P1769" s="15"/>
      <c r="Q1769" s="15">
        <f>Q1770</f>
        <v>7010</v>
      </c>
      <c r="R1769" s="15"/>
      <c r="T1769" s="15">
        <f t="shared" si="507"/>
        <v>0</v>
      </c>
    </row>
    <row r="1770" spans="2:20" x14ac:dyDescent="0.25">
      <c r="B1770" s="97">
        <f t="shared" si="496"/>
        <v>980</v>
      </c>
      <c r="C1770" s="29"/>
      <c r="D1770" s="61"/>
      <c r="E1770" s="62"/>
      <c r="F1770" s="54" t="s">
        <v>550</v>
      </c>
      <c r="G1770" s="126">
        <v>713</v>
      </c>
      <c r="H1770" s="9" t="s">
        <v>360</v>
      </c>
      <c r="I1770" s="15"/>
      <c r="J1770" s="15"/>
      <c r="K1770" s="15"/>
      <c r="L1770" s="15"/>
      <c r="M1770" s="15"/>
      <c r="N1770" s="15"/>
      <c r="O1770" s="15"/>
      <c r="P1770" s="15"/>
      <c r="Q1770" s="16">
        <v>7010</v>
      </c>
      <c r="R1770" s="15"/>
      <c r="T1770" s="15">
        <f t="shared" si="507"/>
        <v>0</v>
      </c>
    </row>
    <row r="1771" spans="2:20" ht="15.75" x14ac:dyDescent="0.25">
      <c r="B1771" s="97">
        <f t="shared" si="496"/>
        <v>981</v>
      </c>
      <c r="C1771" s="45">
        <v>5</v>
      </c>
      <c r="D1771" s="293" t="s">
        <v>568</v>
      </c>
      <c r="E1771" s="294"/>
      <c r="F1771" s="294"/>
      <c r="G1771" s="294"/>
      <c r="H1771" s="295"/>
      <c r="I1771" s="46">
        <f>I1774+I1794</f>
        <v>211979</v>
      </c>
      <c r="J1771" s="46">
        <f t="shared" ref="J1771:R1771" si="509">J1772</f>
        <v>282262</v>
      </c>
      <c r="K1771" s="46">
        <f t="shared" si="509"/>
        <v>274779</v>
      </c>
      <c r="L1771" s="46">
        <f t="shared" si="509"/>
        <v>243676.76</v>
      </c>
      <c r="M1771" s="46">
        <f t="shared" si="509"/>
        <v>247554</v>
      </c>
      <c r="N1771" s="46">
        <v>0</v>
      </c>
      <c r="O1771" s="46">
        <f t="shared" si="509"/>
        <v>0</v>
      </c>
      <c r="P1771" s="46">
        <f t="shared" si="509"/>
        <v>0</v>
      </c>
      <c r="Q1771" s="46">
        <f t="shared" si="509"/>
        <v>0</v>
      </c>
      <c r="R1771" s="46">
        <f t="shared" si="509"/>
        <v>0</v>
      </c>
      <c r="T1771" s="46">
        <f t="shared" si="507"/>
        <v>211979</v>
      </c>
    </row>
    <row r="1772" spans="2:20" hidden="1" x14ac:dyDescent="0.25">
      <c r="B1772" s="97">
        <f t="shared" ref="B1772:B1806" si="510">B1771+1</f>
        <v>982</v>
      </c>
      <c r="C1772" s="47"/>
      <c r="D1772" s="47" t="s">
        <v>60</v>
      </c>
      <c r="E1772" s="296"/>
      <c r="F1772" s="294"/>
      <c r="G1772" s="294"/>
      <c r="H1772" s="295"/>
      <c r="I1772" s="48">
        <v>0</v>
      </c>
      <c r="J1772" s="48">
        <f>J1794+J1773</f>
        <v>282262</v>
      </c>
      <c r="K1772" s="48">
        <f>K1794+K1773</f>
        <v>274779</v>
      </c>
      <c r="L1772" s="48">
        <f>L1794+L1773</f>
        <v>243676.76</v>
      </c>
      <c r="M1772" s="48">
        <f>M1794+M1773</f>
        <v>247554</v>
      </c>
      <c r="N1772" s="48"/>
      <c r="O1772" s="48"/>
      <c r="P1772" s="48"/>
      <c r="Q1772" s="48"/>
      <c r="R1772" s="48"/>
      <c r="T1772" s="48">
        <f t="shared" si="507"/>
        <v>0</v>
      </c>
    </row>
    <row r="1773" spans="2:20" hidden="1" x14ac:dyDescent="0.25">
      <c r="B1773" s="97">
        <f t="shared" si="510"/>
        <v>983</v>
      </c>
      <c r="C1773" s="49"/>
      <c r="D1773" s="49"/>
      <c r="E1773" s="49"/>
      <c r="F1773" s="49"/>
      <c r="G1773" s="123"/>
      <c r="H1773" s="49" t="s">
        <v>12</v>
      </c>
      <c r="I1773" s="50">
        <v>0</v>
      </c>
      <c r="J1773" s="50">
        <f t="shared" ref="J1773:M1773" si="511">J1774</f>
        <v>47955</v>
      </c>
      <c r="K1773" s="50">
        <f t="shared" si="511"/>
        <v>67622</v>
      </c>
      <c r="L1773" s="50">
        <f t="shared" si="511"/>
        <v>45139.759999999995</v>
      </c>
      <c r="M1773" s="50">
        <f t="shared" si="511"/>
        <v>45559</v>
      </c>
      <c r="N1773" s="50"/>
      <c r="O1773" s="50"/>
      <c r="P1773" s="50"/>
      <c r="Q1773" s="50"/>
      <c r="R1773" s="50"/>
      <c r="T1773" s="50">
        <f t="shared" si="507"/>
        <v>0</v>
      </c>
    </row>
    <row r="1774" spans="2:20" ht="28.5" hidden="1" customHeight="1" x14ac:dyDescent="0.25">
      <c r="B1774" s="97">
        <f t="shared" si="510"/>
        <v>984</v>
      </c>
      <c r="C1774" s="51"/>
      <c r="D1774" s="51"/>
      <c r="E1774" s="51" t="s">
        <v>60</v>
      </c>
      <c r="F1774" s="51"/>
      <c r="G1774" s="124"/>
      <c r="H1774" s="51" t="s">
        <v>569</v>
      </c>
      <c r="I1774" s="52">
        <f>I1775+I1779+I1780+I1781+I1788+I1789+I1777+I1790+I1792</f>
        <v>52011</v>
      </c>
      <c r="J1774" s="52">
        <f>J1792+J1790+J1777+J1789+J1781+J1780+J1779+J1775</f>
        <v>47955</v>
      </c>
      <c r="K1774" s="52">
        <f>K1792+K1790+K1777+K1789+K1781+K1780+K1779+K1775+K1788</f>
        <v>67622</v>
      </c>
      <c r="L1774" s="52">
        <f>L1792+L1790+L1777+L1789+L1781+L1780+L1779+L1775+L1788</f>
        <v>45139.759999999995</v>
      </c>
      <c r="M1774" s="52">
        <f>M1792+M1790+M1777+M1789+M1781+M1780+M1779+M1775+M1788</f>
        <v>45559</v>
      </c>
      <c r="N1774" s="52"/>
      <c r="O1774" s="52"/>
      <c r="P1774" s="52"/>
      <c r="Q1774" s="52"/>
      <c r="R1774" s="52"/>
      <c r="T1774" s="52">
        <f t="shared" si="507"/>
        <v>52011</v>
      </c>
    </row>
    <row r="1775" spans="2:20" x14ac:dyDescent="0.25">
      <c r="B1775" s="97">
        <f t="shared" si="510"/>
        <v>985</v>
      </c>
      <c r="C1775" s="29"/>
      <c r="D1775" s="29"/>
      <c r="E1775" s="29"/>
      <c r="F1775" s="53" t="s">
        <v>543</v>
      </c>
      <c r="G1775" s="125">
        <v>630</v>
      </c>
      <c r="H1775" s="29" t="s">
        <v>303</v>
      </c>
      <c r="I1775" s="15">
        <f>I1776</f>
        <v>0</v>
      </c>
      <c r="J1775" s="15">
        <f t="shared" ref="J1775:M1775" si="512">J1776</f>
        <v>3150</v>
      </c>
      <c r="K1775" s="15">
        <f t="shared" si="512"/>
        <v>3150</v>
      </c>
      <c r="L1775" s="15">
        <f t="shared" si="512"/>
        <v>0</v>
      </c>
      <c r="M1775" s="15">
        <f t="shared" si="512"/>
        <v>2303</v>
      </c>
      <c r="N1775" s="15"/>
      <c r="O1775" s="15"/>
      <c r="P1775" s="15"/>
      <c r="Q1775" s="15"/>
      <c r="R1775" s="15"/>
      <c r="T1775" s="15">
        <f t="shared" si="507"/>
        <v>0</v>
      </c>
    </row>
    <row r="1776" spans="2:20" x14ac:dyDescent="0.25">
      <c r="B1776" s="97">
        <f t="shared" si="510"/>
        <v>986</v>
      </c>
      <c r="C1776" s="9"/>
      <c r="D1776" s="9"/>
      <c r="E1776" s="9"/>
      <c r="F1776" s="54" t="s">
        <v>543</v>
      </c>
      <c r="G1776" s="126">
        <v>633</v>
      </c>
      <c r="H1776" s="9" t="s">
        <v>305</v>
      </c>
      <c r="I1776" s="10">
        <v>0</v>
      </c>
      <c r="J1776" s="10">
        <v>3150</v>
      </c>
      <c r="K1776" s="10">
        <v>3150</v>
      </c>
      <c r="L1776" s="10"/>
      <c r="M1776" s="10">
        <v>2303</v>
      </c>
      <c r="N1776" s="10"/>
      <c r="O1776" s="10"/>
      <c r="P1776" s="10"/>
      <c r="Q1776" s="10"/>
      <c r="R1776" s="10"/>
      <c r="T1776" s="10">
        <f t="shared" si="507"/>
        <v>0</v>
      </c>
    </row>
    <row r="1777" spans="2:20" x14ac:dyDescent="0.25">
      <c r="B1777" s="97">
        <f t="shared" si="510"/>
        <v>987</v>
      </c>
      <c r="C1777" s="9"/>
      <c r="D1777" s="9"/>
      <c r="E1777" s="9"/>
      <c r="F1777" s="53" t="s">
        <v>543</v>
      </c>
      <c r="G1777" s="125">
        <v>640</v>
      </c>
      <c r="H1777" s="29" t="s">
        <v>315</v>
      </c>
      <c r="I1777" s="15">
        <f>I1778</f>
        <v>0</v>
      </c>
      <c r="J1777" s="15">
        <f t="shared" ref="J1777:M1777" si="513">J1778</f>
        <v>6000</v>
      </c>
      <c r="K1777" s="15">
        <f t="shared" si="513"/>
        <v>22000</v>
      </c>
      <c r="L1777" s="15">
        <f t="shared" si="513"/>
        <v>3420</v>
      </c>
      <c r="M1777" s="15">
        <f t="shared" si="513"/>
        <v>4564</v>
      </c>
      <c r="N1777" s="10"/>
      <c r="O1777" s="10"/>
      <c r="P1777" s="10"/>
      <c r="Q1777" s="10"/>
      <c r="R1777" s="10"/>
      <c r="T1777" s="10">
        <f t="shared" si="507"/>
        <v>0</v>
      </c>
    </row>
    <row r="1778" spans="2:20" x14ac:dyDescent="0.25">
      <c r="B1778" s="97">
        <f t="shared" si="510"/>
        <v>988</v>
      </c>
      <c r="C1778" s="9"/>
      <c r="D1778" s="9"/>
      <c r="E1778" s="9"/>
      <c r="F1778" s="54" t="s">
        <v>543</v>
      </c>
      <c r="G1778" s="126">
        <v>642</v>
      </c>
      <c r="H1778" s="9" t="s">
        <v>316</v>
      </c>
      <c r="I1778" s="10">
        <v>0</v>
      </c>
      <c r="J1778" s="10">
        <v>6000</v>
      </c>
      <c r="K1778" s="10">
        <v>22000</v>
      </c>
      <c r="L1778" s="10">
        <v>3420</v>
      </c>
      <c r="M1778" s="10">
        <f>4064+500</f>
        <v>4564</v>
      </c>
      <c r="N1778" s="10"/>
      <c r="O1778" s="10"/>
      <c r="P1778" s="10"/>
      <c r="Q1778" s="10"/>
      <c r="R1778" s="10"/>
      <c r="T1778" s="10">
        <f t="shared" si="507"/>
        <v>0</v>
      </c>
    </row>
    <row r="1779" spans="2:20" x14ac:dyDescent="0.25">
      <c r="B1779" s="97">
        <f t="shared" si="510"/>
        <v>989</v>
      </c>
      <c r="C1779" s="29"/>
      <c r="D1779" s="29"/>
      <c r="E1779" s="29"/>
      <c r="F1779" s="53" t="s">
        <v>570</v>
      </c>
      <c r="G1779" s="125">
        <v>610</v>
      </c>
      <c r="H1779" s="29" t="s">
        <v>338</v>
      </c>
      <c r="I1779" s="15">
        <v>26600</v>
      </c>
      <c r="J1779" s="15">
        <v>24300</v>
      </c>
      <c r="K1779" s="15">
        <f>24300+2203</f>
        <v>26503</v>
      </c>
      <c r="L1779" s="15">
        <v>22930.1</v>
      </c>
      <c r="M1779" s="15">
        <v>23504</v>
      </c>
      <c r="N1779" s="15"/>
      <c r="O1779" s="15"/>
      <c r="P1779" s="15"/>
      <c r="Q1779" s="15"/>
      <c r="R1779" s="15"/>
      <c r="T1779" s="15">
        <f t="shared" si="507"/>
        <v>26600</v>
      </c>
    </row>
    <row r="1780" spans="2:20" x14ac:dyDescent="0.25">
      <c r="B1780" s="97">
        <f t="shared" si="510"/>
        <v>990</v>
      </c>
      <c r="C1780" s="29"/>
      <c r="D1780" s="29"/>
      <c r="E1780" s="29"/>
      <c r="F1780" s="53" t="s">
        <v>570</v>
      </c>
      <c r="G1780" s="125">
        <v>620</v>
      </c>
      <c r="H1780" s="29" t="s">
        <v>313</v>
      </c>
      <c r="I1780" s="15">
        <v>9947</v>
      </c>
      <c r="J1780" s="15">
        <v>9602</v>
      </c>
      <c r="K1780" s="15">
        <v>9602</v>
      </c>
      <c r="L1780" s="15">
        <v>8536.33</v>
      </c>
      <c r="M1780" s="15">
        <v>8756</v>
      </c>
      <c r="N1780" s="15"/>
      <c r="O1780" s="15"/>
      <c r="P1780" s="15"/>
      <c r="Q1780" s="15"/>
      <c r="R1780" s="15"/>
      <c r="T1780" s="15">
        <f t="shared" si="507"/>
        <v>9947</v>
      </c>
    </row>
    <row r="1781" spans="2:20" x14ac:dyDescent="0.25">
      <c r="B1781" s="97">
        <f t="shared" si="510"/>
        <v>991</v>
      </c>
      <c r="C1781" s="29"/>
      <c r="D1781" s="29"/>
      <c r="E1781" s="29"/>
      <c r="F1781" s="53" t="s">
        <v>570</v>
      </c>
      <c r="G1781" s="125">
        <v>630</v>
      </c>
      <c r="H1781" s="29" t="s">
        <v>303</v>
      </c>
      <c r="I1781" s="15">
        <f>SUM(I1782:I1787)</f>
        <v>5464</v>
      </c>
      <c r="J1781" s="15">
        <f t="shared" ref="J1781:M1781" si="514">SUM(J1782:J1787)</f>
        <v>3103</v>
      </c>
      <c r="K1781" s="15">
        <f t="shared" si="514"/>
        <v>3103</v>
      </c>
      <c r="L1781" s="15">
        <f t="shared" si="514"/>
        <v>9013.33</v>
      </c>
      <c r="M1781" s="15">
        <f t="shared" si="514"/>
        <v>5667</v>
      </c>
      <c r="N1781" s="15"/>
      <c r="O1781" s="15"/>
      <c r="P1781" s="15"/>
      <c r="Q1781" s="15"/>
      <c r="R1781" s="15"/>
      <c r="T1781" s="15">
        <f t="shared" si="507"/>
        <v>5464</v>
      </c>
    </row>
    <row r="1782" spans="2:20" x14ac:dyDescent="0.25">
      <c r="B1782" s="97">
        <f t="shared" si="510"/>
        <v>992</v>
      </c>
      <c r="C1782" s="9"/>
      <c r="D1782" s="9"/>
      <c r="E1782" s="9"/>
      <c r="F1782" s="54" t="s">
        <v>570</v>
      </c>
      <c r="G1782" s="126">
        <v>631</v>
      </c>
      <c r="H1782" s="9" t="s">
        <v>304</v>
      </c>
      <c r="I1782" s="10">
        <v>100</v>
      </c>
      <c r="J1782" s="10">
        <v>50</v>
      </c>
      <c r="K1782" s="10">
        <v>170</v>
      </c>
      <c r="L1782" s="10"/>
      <c r="M1782" s="10">
        <v>0</v>
      </c>
      <c r="N1782" s="10"/>
      <c r="O1782" s="10"/>
      <c r="P1782" s="10"/>
      <c r="Q1782" s="10"/>
      <c r="R1782" s="10"/>
      <c r="T1782" s="10">
        <f t="shared" si="507"/>
        <v>100</v>
      </c>
    </row>
    <row r="1783" spans="2:20" x14ac:dyDescent="0.25">
      <c r="B1783" s="97">
        <f t="shared" si="510"/>
        <v>993</v>
      </c>
      <c r="C1783" s="9"/>
      <c r="D1783" s="9"/>
      <c r="E1783" s="9"/>
      <c r="F1783" s="54" t="s">
        <v>570</v>
      </c>
      <c r="G1783" s="126">
        <v>632</v>
      </c>
      <c r="H1783" s="9" t="s">
        <v>314</v>
      </c>
      <c r="I1783" s="10">
        <v>300</v>
      </c>
      <c r="J1783" s="10">
        <v>400</v>
      </c>
      <c r="K1783" s="10">
        <v>400</v>
      </c>
      <c r="L1783" s="10">
        <v>366.55</v>
      </c>
      <c r="M1783" s="10">
        <v>344</v>
      </c>
      <c r="N1783" s="10"/>
      <c r="O1783" s="10"/>
      <c r="P1783" s="10"/>
      <c r="Q1783" s="10"/>
      <c r="R1783" s="10"/>
      <c r="T1783" s="10">
        <f t="shared" si="507"/>
        <v>300</v>
      </c>
    </row>
    <row r="1784" spans="2:20" x14ac:dyDescent="0.25">
      <c r="B1784" s="97">
        <f t="shared" si="510"/>
        <v>994</v>
      </c>
      <c r="C1784" s="9"/>
      <c r="D1784" s="9"/>
      <c r="E1784" s="9"/>
      <c r="F1784" s="54" t="s">
        <v>570</v>
      </c>
      <c r="G1784" s="126">
        <v>633</v>
      </c>
      <c r="H1784" s="9" t="s">
        <v>305</v>
      </c>
      <c r="I1784" s="10">
        <v>3764</v>
      </c>
      <c r="J1784" s="10">
        <v>770</v>
      </c>
      <c r="K1784" s="10">
        <v>770</v>
      </c>
      <c r="L1784" s="10">
        <v>7365.38</v>
      </c>
      <c r="M1784" s="10">
        <f>2188</f>
        <v>2188</v>
      </c>
      <c r="N1784" s="10"/>
      <c r="O1784" s="10"/>
      <c r="P1784" s="10"/>
      <c r="Q1784" s="10"/>
      <c r="R1784" s="10"/>
      <c r="T1784" s="10">
        <f t="shared" si="507"/>
        <v>3764</v>
      </c>
    </row>
    <row r="1785" spans="2:20" x14ac:dyDescent="0.25">
      <c r="B1785" s="97">
        <f t="shared" si="510"/>
        <v>995</v>
      </c>
      <c r="C1785" s="9"/>
      <c r="D1785" s="9"/>
      <c r="E1785" s="9"/>
      <c r="F1785" s="54" t="s">
        <v>570</v>
      </c>
      <c r="G1785" s="126">
        <v>635</v>
      </c>
      <c r="H1785" s="9" t="s">
        <v>320</v>
      </c>
      <c r="I1785" s="10">
        <v>0</v>
      </c>
      <c r="J1785" s="10">
        <v>303</v>
      </c>
      <c r="K1785" s="10">
        <v>183</v>
      </c>
      <c r="L1785" s="10">
        <v>47.88</v>
      </c>
      <c r="M1785" s="10">
        <v>666</v>
      </c>
      <c r="N1785" s="10"/>
      <c r="O1785" s="10"/>
      <c r="P1785" s="10"/>
      <c r="Q1785" s="10"/>
      <c r="R1785" s="10"/>
      <c r="T1785" s="10">
        <f t="shared" si="507"/>
        <v>0</v>
      </c>
    </row>
    <row r="1786" spans="2:20" x14ac:dyDescent="0.25">
      <c r="B1786" s="97">
        <f t="shared" si="510"/>
        <v>996</v>
      </c>
      <c r="C1786" s="9"/>
      <c r="D1786" s="9"/>
      <c r="E1786" s="9"/>
      <c r="F1786" s="54" t="s">
        <v>570</v>
      </c>
      <c r="G1786" s="126">
        <v>636</v>
      </c>
      <c r="H1786" s="9" t="s">
        <v>307</v>
      </c>
      <c r="I1786" s="10">
        <v>0</v>
      </c>
      <c r="J1786" s="10">
        <v>0</v>
      </c>
      <c r="K1786" s="10"/>
      <c r="L1786" s="10"/>
      <c r="M1786" s="10">
        <v>1328</v>
      </c>
      <c r="N1786" s="10"/>
      <c r="O1786" s="10"/>
      <c r="P1786" s="10"/>
      <c r="Q1786" s="10"/>
      <c r="R1786" s="10"/>
      <c r="T1786" s="10">
        <f t="shared" si="507"/>
        <v>0</v>
      </c>
    </row>
    <row r="1787" spans="2:20" x14ac:dyDescent="0.25">
      <c r="B1787" s="97">
        <f t="shared" si="510"/>
        <v>997</v>
      </c>
      <c r="C1787" s="9"/>
      <c r="D1787" s="9"/>
      <c r="E1787" s="9"/>
      <c r="F1787" s="54" t="s">
        <v>570</v>
      </c>
      <c r="G1787" s="126">
        <v>637</v>
      </c>
      <c r="H1787" s="9" t="s">
        <v>308</v>
      </c>
      <c r="I1787" s="10">
        <v>1300</v>
      </c>
      <c r="J1787" s="10">
        <v>1580</v>
      </c>
      <c r="K1787" s="10">
        <v>1580</v>
      </c>
      <c r="L1787" s="10">
        <v>1233.52</v>
      </c>
      <c r="M1787" s="10">
        <v>1141</v>
      </c>
      <c r="N1787" s="10"/>
      <c r="O1787" s="10"/>
      <c r="P1787" s="10"/>
      <c r="Q1787" s="10"/>
      <c r="R1787" s="10"/>
      <c r="T1787" s="10">
        <f t="shared" si="507"/>
        <v>1300</v>
      </c>
    </row>
    <row r="1788" spans="2:20" x14ac:dyDescent="0.25">
      <c r="B1788" s="97">
        <f t="shared" si="510"/>
        <v>998</v>
      </c>
      <c r="C1788" s="9"/>
      <c r="D1788" s="9"/>
      <c r="E1788" s="9"/>
      <c r="F1788" s="60" t="s">
        <v>570</v>
      </c>
      <c r="G1788" s="129">
        <v>630</v>
      </c>
      <c r="H1788" s="7" t="s">
        <v>539</v>
      </c>
      <c r="I1788" s="8">
        <v>0</v>
      </c>
      <c r="J1788" s="8"/>
      <c r="K1788" s="8">
        <f>1178+286</f>
        <v>1464</v>
      </c>
      <c r="L1788" s="8">
        <v>739</v>
      </c>
      <c r="M1788" s="8">
        <v>643</v>
      </c>
      <c r="N1788" s="10"/>
      <c r="O1788" s="10"/>
      <c r="P1788" s="10"/>
      <c r="Q1788" s="10"/>
      <c r="R1788" s="10"/>
      <c r="T1788" s="10">
        <f t="shared" si="507"/>
        <v>0</v>
      </c>
    </row>
    <row r="1789" spans="2:20" x14ac:dyDescent="0.25">
      <c r="B1789" s="97">
        <f t="shared" si="510"/>
        <v>999</v>
      </c>
      <c r="C1789" s="29"/>
      <c r="D1789" s="29"/>
      <c r="E1789" s="29"/>
      <c r="F1789" s="60" t="s">
        <v>570</v>
      </c>
      <c r="G1789" s="125">
        <v>640</v>
      </c>
      <c r="H1789" s="29" t="s">
        <v>315</v>
      </c>
      <c r="I1789" s="15">
        <v>0</v>
      </c>
      <c r="J1789" s="15">
        <v>0</v>
      </c>
      <c r="K1789" s="15">
        <v>0</v>
      </c>
      <c r="L1789" s="15">
        <v>370</v>
      </c>
      <c r="M1789" s="15">
        <v>122</v>
      </c>
      <c r="N1789" s="15"/>
      <c r="O1789" s="15"/>
      <c r="P1789" s="15"/>
      <c r="Q1789" s="15"/>
      <c r="R1789" s="15"/>
      <c r="T1789" s="15">
        <f t="shared" si="507"/>
        <v>0</v>
      </c>
    </row>
    <row r="1790" spans="2:20" x14ac:dyDescent="0.25">
      <c r="B1790" s="97">
        <f t="shared" si="510"/>
        <v>1000</v>
      </c>
      <c r="C1790" s="29"/>
      <c r="D1790" s="29"/>
      <c r="E1790" s="29"/>
      <c r="F1790" s="53" t="s">
        <v>570</v>
      </c>
      <c r="G1790" s="125">
        <v>640</v>
      </c>
      <c r="H1790" s="29" t="s">
        <v>315</v>
      </c>
      <c r="I1790" s="15">
        <f>I1791</f>
        <v>0</v>
      </c>
      <c r="J1790" s="15">
        <f t="shared" ref="J1790:M1790" si="515">J1791</f>
        <v>1800</v>
      </c>
      <c r="K1790" s="15">
        <f t="shared" si="515"/>
        <v>1800</v>
      </c>
      <c r="L1790" s="15">
        <f t="shared" si="515"/>
        <v>131</v>
      </c>
      <c r="M1790" s="15">
        <f t="shared" si="515"/>
        <v>0</v>
      </c>
      <c r="N1790" s="15"/>
      <c r="O1790" s="15"/>
      <c r="P1790" s="15"/>
      <c r="Q1790" s="15"/>
      <c r="R1790" s="15"/>
      <c r="T1790" s="15">
        <f t="shared" si="507"/>
        <v>0</v>
      </c>
    </row>
    <row r="1791" spans="2:20" x14ac:dyDescent="0.25">
      <c r="B1791" s="97">
        <f t="shared" si="510"/>
        <v>1001</v>
      </c>
      <c r="C1791" s="9"/>
      <c r="D1791" s="9"/>
      <c r="E1791" s="9"/>
      <c r="F1791" s="54" t="s">
        <v>570</v>
      </c>
      <c r="G1791" s="126">
        <v>642</v>
      </c>
      <c r="H1791" s="9" t="s">
        <v>316</v>
      </c>
      <c r="I1791" s="10">
        <v>0</v>
      </c>
      <c r="J1791" s="10">
        <v>1800</v>
      </c>
      <c r="K1791" s="10">
        <v>1800</v>
      </c>
      <c r="L1791" s="10">
        <v>131</v>
      </c>
      <c r="M1791" s="10">
        <v>0</v>
      </c>
      <c r="N1791" s="10"/>
      <c r="O1791" s="10"/>
      <c r="P1791" s="10"/>
      <c r="Q1791" s="10"/>
      <c r="R1791" s="10"/>
      <c r="T1791" s="10">
        <f t="shared" si="507"/>
        <v>0</v>
      </c>
    </row>
    <row r="1792" spans="2:20" x14ac:dyDescent="0.25">
      <c r="B1792" s="97">
        <f t="shared" si="510"/>
        <v>1002</v>
      </c>
      <c r="C1792" s="29"/>
      <c r="D1792" s="29"/>
      <c r="E1792" s="29"/>
      <c r="F1792" s="53" t="s">
        <v>570</v>
      </c>
      <c r="G1792" s="125">
        <v>640</v>
      </c>
      <c r="H1792" s="29" t="s">
        <v>315</v>
      </c>
      <c r="I1792" s="15">
        <f>I1793</f>
        <v>10000</v>
      </c>
      <c r="J1792" s="15">
        <f t="shared" ref="J1792:M1792" si="516">J1793</f>
        <v>0</v>
      </c>
      <c r="K1792" s="15">
        <f t="shared" si="516"/>
        <v>0</v>
      </c>
      <c r="L1792" s="15">
        <f t="shared" si="516"/>
        <v>0</v>
      </c>
      <c r="M1792" s="15">
        <f t="shared" si="516"/>
        <v>0</v>
      </c>
      <c r="N1792" s="15"/>
      <c r="O1792" s="15"/>
      <c r="P1792" s="15"/>
      <c r="Q1792" s="15"/>
      <c r="R1792" s="15"/>
      <c r="T1792" s="15">
        <f t="shared" si="507"/>
        <v>10000</v>
      </c>
    </row>
    <row r="1793" spans="2:20" x14ac:dyDescent="0.25">
      <c r="B1793" s="97">
        <f t="shared" si="510"/>
        <v>1003</v>
      </c>
      <c r="C1793" s="9"/>
      <c r="D1793" s="9"/>
      <c r="E1793" s="9"/>
      <c r="F1793" s="54" t="s">
        <v>570</v>
      </c>
      <c r="G1793" s="126">
        <v>644</v>
      </c>
      <c r="H1793" s="9" t="s">
        <v>508</v>
      </c>
      <c r="I1793" s="10">
        <v>10000</v>
      </c>
      <c r="J1793" s="10"/>
      <c r="K1793" s="10"/>
      <c r="L1793" s="10"/>
      <c r="M1793" s="10"/>
      <c r="N1793" s="10"/>
      <c r="O1793" s="10"/>
      <c r="P1793" s="10"/>
      <c r="Q1793" s="10"/>
      <c r="R1793" s="10"/>
      <c r="T1793" s="10">
        <f t="shared" si="507"/>
        <v>10000</v>
      </c>
    </row>
    <row r="1794" spans="2:20" x14ac:dyDescent="0.25">
      <c r="B1794" s="97">
        <f t="shared" si="510"/>
        <v>1004</v>
      </c>
      <c r="C1794" s="49"/>
      <c r="D1794" s="49"/>
      <c r="E1794" s="49">
        <v>4</v>
      </c>
      <c r="F1794" s="49"/>
      <c r="G1794" s="123"/>
      <c r="H1794" s="49" t="s">
        <v>100</v>
      </c>
      <c r="I1794" s="50">
        <f>I1796+I1797+I1798+I1806</f>
        <v>159968</v>
      </c>
      <c r="J1794" s="50">
        <f t="shared" ref="J1794:R1794" si="517">J1795</f>
        <v>234307</v>
      </c>
      <c r="K1794" s="50">
        <f t="shared" si="517"/>
        <v>207157</v>
      </c>
      <c r="L1794" s="50">
        <f t="shared" si="517"/>
        <v>198537</v>
      </c>
      <c r="M1794" s="50">
        <f t="shared" si="517"/>
        <v>201995</v>
      </c>
      <c r="N1794" s="50">
        <v>0</v>
      </c>
      <c r="O1794" s="50">
        <f t="shared" si="517"/>
        <v>0</v>
      </c>
      <c r="P1794" s="50">
        <f t="shared" si="517"/>
        <v>0</v>
      </c>
      <c r="Q1794" s="50">
        <f t="shared" si="517"/>
        <v>0</v>
      </c>
      <c r="R1794" s="50">
        <f t="shared" si="517"/>
        <v>0</v>
      </c>
      <c r="T1794" s="50">
        <f t="shared" si="507"/>
        <v>159968</v>
      </c>
    </row>
    <row r="1795" spans="2:20" hidden="1" x14ac:dyDescent="0.25">
      <c r="B1795" s="97">
        <f t="shared" si="510"/>
        <v>1005</v>
      </c>
      <c r="C1795" s="51"/>
      <c r="D1795" s="51"/>
      <c r="E1795" s="51" t="s">
        <v>136</v>
      </c>
      <c r="F1795" s="51"/>
      <c r="G1795" s="124"/>
      <c r="H1795" s="51" t="s">
        <v>137</v>
      </c>
      <c r="I1795" s="52">
        <f>I1796+I1797+I1798+I1806</f>
        <v>159968</v>
      </c>
      <c r="J1795" s="52">
        <f>J1806+J1798+J1797+J1796</f>
        <v>234307</v>
      </c>
      <c r="K1795" s="52">
        <f>K1806+K1798+K1797+K1796</f>
        <v>207157</v>
      </c>
      <c r="L1795" s="52">
        <f>L1806+L1798+L1797+L1796</f>
        <v>198537</v>
      </c>
      <c r="M1795" s="52">
        <f>M1806+M1798+M1797+M1796</f>
        <v>201995</v>
      </c>
      <c r="N1795" s="52"/>
      <c r="O1795" s="52"/>
      <c r="P1795" s="52"/>
      <c r="Q1795" s="52"/>
      <c r="R1795" s="52"/>
      <c r="T1795" s="52">
        <f t="shared" si="507"/>
        <v>159968</v>
      </c>
    </row>
    <row r="1796" spans="2:20" x14ac:dyDescent="0.25">
      <c r="B1796" s="97">
        <f t="shared" si="510"/>
        <v>1006</v>
      </c>
      <c r="C1796" s="29"/>
      <c r="D1796" s="29"/>
      <c r="E1796" s="29"/>
      <c r="F1796" s="53" t="s">
        <v>571</v>
      </c>
      <c r="G1796" s="125">
        <v>610</v>
      </c>
      <c r="H1796" s="29" t="s">
        <v>338</v>
      </c>
      <c r="I1796" s="15">
        <v>91125</v>
      </c>
      <c r="J1796" s="15">
        <v>118476</v>
      </c>
      <c r="K1796" s="15">
        <v>92396</v>
      </c>
      <c r="L1796" s="15">
        <v>99474</v>
      </c>
      <c r="M1796" s="15">
        <v>112266</v>
      </c>
      <c r="N1796" s="15"/>
      <c r="O1796" s="15"/>
      <c r="P1796" s="15"/>
      <c r="Q1796" s="15"/>
      <c r="R1796" s="15"/>
      <c r="T1796" s="15">
        <f t="shared" si="507"/>
        <v>91125</v>
      </c>
    </row>
    <row r="1797" spans="2:20" x14ac:dyDescent="0.25">
      <c r="B1797" s="97">
        <f t="shared" si="510"/>
        <v>1007</v>
      </c>
      <c r="C1797" s="29"/>
      <c r="D1797" s="29"/>
      <c r="E1797" s="29"/>
      <c r="F1797" s="53" t="s">
        <v>571</v>
      </c>
      <c r="G1797" s="125">
        <v>620</v>
      </c>
      <c r="H1797" s="29" t="s">
        <v>313</v>
      </c>
      <c r="I1797" s="15">
        <v>33700</v>
      </c>
      <c r="J1797" s="15">
        <v>45321</v>
      </c>
      <c r="K1797" s="15">
        <v>38351</v>
      </c>
      <c r="L1797" s="15">
        <v>40998</v>
      </c>
      <c r="M1797" s="15">
        <v>40006</v>
      </c>
      <c r="N1797" s="15"/>
      <c r="O1797" s="15"/>
      <c r="P1797" s="15"/>
      <c r="Q1797" s="15"/>
      <c r="R1797" s="15"/>
      <c r="T1797" s="15">
        <f t="shared" si="507"/>
        <v>33700</v>
      </c>
    </row>
    <row r="1798" spans="2:20" x14ac:dyDescent="0.25">
      <c r="B1798" s="97">
        <f t="shared" si="510"/>
        <v>1008</v>
      </c>
      <c r="C1798" s="29"/>
      <c r="D1798" s="29"/>
      <c r="E1798" s="29"/>
      <c r="F1798" s="53" t="s">
        <v>571</v>
      </c>
      <c r="G1798" s="125">
        <v>630</v>
      </c>
      <c r="H1798" s="29" t="s">
        <v>303</v>
      </c>
      <c r="I1798" s="15">
        <f>I1799+I1800+I1801+I1802+I1803+I1804+I1805</f>
        <v>33210</v>
      </c>
      <c r="J1798" s="15">
        <f t="shared" ref="J1798:M1798" si="518">J1805+J1804+J1803+J1802+J1801+J1800+J1799</f>
        <v>67020</v>
      </c>
      <c r="K1798" s="15">
        <f t="shared" si="518"/>
        <v>72020</v>
      </c>
      <c r="L1798" s="15">
        <f t="shared" si="518"/>
        <v>50995</v>
      </c>
      <c r="M1798" s="15">
        <f t="shared" si="518"/>
        <v>45654</v>
      </c>
      <c r="N1798" s="15"/>
      <c r="O1798" s="15"/>
      <c r="P1798" s="15"/>
      <c r="Q1798" s="15"/>
      <c r="R1798" s="15"/>
      <c r="T1798" s="15">
        <f t="shared" si="507"/>
        <v>33210</v>
      </c>
    </row>
    <row r="1799" spans="2:20" x14ac:dyDescent="0.25">
      <c r="B1799" s="97">
        <f t="shared" si="510"/>
        <v>1009</v>
      </c>
      <c r="C1799" s="9"/>
      <c r="D1799" s="9"/>
      <c r="E1799" s="9"/>
      <c r="F1799" s="54" t="s">
        <v>571</v>
      </c>
      <c r="G1799" s="126">
        <v>631</v>
      </c>
      <c r="H1799" s="9" t="s">
        <v>304</v>
      </c>
      <c r="I1799" s="10">
        <v>0</v>
      </c>
      <c r="J1799" s="10">
        <v>0</v>
      </c>
      <c r="K1799" s="10">
        <v>0</v>
      </c>
      <c r="L1799" s="10">
        <v>99</v>
      </c>
      <c r="M1799" s="10">
        <v>74</v>
      </c>
      <c r="N1799" s="10"/>
      <c r="O1799" s="10"/>
      <c r="P1799" s="10"/>
      <c r="Q1799" s="10"/>
      <c r="R1799" s="10"/>
      <c r="T1799" s="10">
        <f t="shared" si="507"/>
        <v>0</v>
      </c>
    </row>
    <row r="1800" spans="2:20" x14ac:dyDescent="0.25">
      <c r="B1800" s="97">
        <f t="shared" si="510"/>
        <v>1010</v>
      </c>
      <c r="C1800" s="9"/>
      <c r="D1800" s="9"/>
      <c r="E1800" s="9"/>
      <c r="F1800" s="54" t="s">
        <v>571</v>
      </c>
      <c r="G1800" s="126">
        <v>632</v>
      </c>
      <c r="H1800" s="9" t="s">
        <v>314</v>
      </c>
      <c r="I1800" s="10">
        <v>2200</v>
      </c>
      <c r="J1800" s="10">
        <v>2200</v>
      </c>
      <c r="K1800" s="10">
        <v>2200</v>
      </c>
      <c r="L1800" s="10">
        <v>1038</v>
      </c>
      <c r="M1800" s="10">
        <v>2025</v>
      </c>
      <c r="N1800" s="10"/>
      <c r="O1800" s="10"/>
      <c r="P1800" s="10"/>
      <c r="Q1800" s="10"/>
      <c r="R1800" s="10"/>
      <c r="T1800" s="10">
        <f t="shared" si="507"/>
        <v>2200</v>
      </c>
    </row>
    <row r="1801" spans="2:20" x14ac:dyDescent="0.25">
      <c r="B1801" s="97">
        <f t="shared" si="510"/>
        <v>1011</v>
      </c>
      <c r="C1801" s="9"/>
      <c r="D1801" s="9"/>
      <c r="E1801" s="9"/>
      <c r="F1801" s="54" t="s">
        <v>571</v>
      </c>
      <c r="G1801" s="126">
        <v>633</v>
      </c>
      <c r="H1801" s="9" t="s">
        <v>305</v>
      </c>
      <c r="I1801" s="10">
        <v>2450</v>
      </c>
      <c r="J1801" s="10">
        <v>13700</v>
      </c>
      <c r="K1801" s="10">
        <v>18700</v>
      </c>
      <c r="L1801" s="10">
        <v>5415</v>
      </c>
      <c r="M1801" s="10">
        <v>6421</v>
      </c>
      <c r="N1801" s="10"/>
      <c r="O1801" s="10"/>
      <c r="P1801" s="10"/>
      <c r="Q1801" s="10"/>
      <c r="R1801" s="10"/>
      <c r="T1801" s="10">
        <f t="shared" si="507"/>
        <v>2450</v>
      </c>
    </row>
    <row r="1802" spans="2:20" x14ac:dyDescent="0.25">
      <c r="B1802" s="97">
        <f t="shared" si="510"/>
        <v>1012</v>
      </c>
      <c r="C1802" s="9"/>
      <c r="D1802" s="9"/>
      <c r="E1802" s="9"/>
      <c r="F1802" s="54" t="s">
        <v>571</v>
      </c>
      <c r="G1802" s="126">
        <v>634</v>
      </c>
      <c r="H1802" s="9" t="s">
        <v>306</v>
      </c>
      <c r="I1802" s="10">
        <v>3300</v>
      </c>
      <c r="J1802" s="10">
        <v>7270</v>
      </c>
      <c r="K1802" s="10">
        <v>7270</v>
      </c>
      <c r="L1802" s="10">
        <v>6819</v>
      </c>
      <c r="M1802" s="10">
        <v>7683</v>
      </c>
      <c r="N1802" s="10"/>
      <c r="O1802" s="10"/>
      <c r="P1802" s="10"/>
      <c r="Q1802" s="10"/>
      <c r="R1802" s="10"/>
      <c r="T1802" s="10">
        <f t="shared" si="507"/>
        <v>3300</v>
      </c>
    </row>
    <row r="1803" spans="2:20" x14ac:dyDescent="0.25">
      <c r="B1803" s="97">
        <f t="shared" si="510"/>
        <v>1013</v>
      </c>
      <c r="C1803" s="9"/>
      <c r="D1803" s="9"/>
      <c r="E1803" s="9"/>
      <c r="F1803" s="54" t="s">
        <v>571</v>
      </c>
      <c r="G1803" s="126">
        <v>635</v>
      </c>
      <c r="H1803" s="9" t="s">
        <v>320</v>
      </c>
      <c r="I1803" s="10">
        <v>750</v>
      </c>
      <c r="J1803" s="10">
        <v>1400</v>
      </c>
      <c r="K1803" s="10">
        <v>1400</v>
      </c>
      <c r="L1803" s="10">
        <v>722</v>
      </c>
      <c r="M1803" s="10">
        <v>1252</v>
      </c>
      <c r="N1803" s="10"/>
      <c r="O1803" s="10"/>
      <c r="P1803" s="10"/>
      <c r="Q1803" s="10"/>
      <c r="R1803" s="10"/>
      <c r="T1803" s="10">
        <f t="shared" si="507"/>
        <v>750</v>
      </c>
    </row>
    <row r="1804" spans="2:20" x14ac:dyDescent="0.25">
      <c r="B1804" s="97">
        <f t="shared" si="510"/>
        <v>1014</v>
      </c>
      <c r="C1804" s="9"/>
      <c r="D1804" s="9"/>
      <c r="E1804" s="9"/>
      <c r="F1804" s="54" t="s">
        <v>571</v>
      </c>
      <c r="G1804" s="126">
        <v>636</v>
      </c>
      <c r="H1804" s="9" t="s">
        <v>307</v>
      </c>
      <c r="I1804" s="10">
        <v>2500</v>
      </c>
      <c r="J1804" s="10">
        <v>2350</v>
      </c>
      <c r="K1804" s="10">
        <v>2350</v>
      </c>
      <c r="L1804" s="10">
        <v>2089</v>
      </c>
      <c r="M1804" s="10">
        <v>1552</v>
      </c>
      <c r="N1804" s="10"/>
      <c r="O1804" s="10"/>
      <c r="P1804" s="10"/>
      <c r="Q1804" s="10"/>
      <c r="R1804" s="10"/>
      <c r="T1804" s="10">
        <f t="shared" si="507"/>
        <v>2500</v>
      </c>
    </row>
    <row r="1805" spans="2:20" x14ac:dyDescent="0.25">
      <c r="B1805" s="97">
        <f t="shared" si="510"/>
        <v>1015</v>
      </c>
      <c r="C1805" s="9"/>
      <c r="D1805" s="9"/>
      <c r="E1805" s="9"/>
      <c r="F1805" s="54" t="s">
        <v>571</v>
      </c>
      <c r="G1805" s="126">
        <v>637</v>
      </c>
      <c r="H1805" s="9" t="s">
        <v>308</v>
      </c>
      <c r="I1805" s="10">
        <v>22010</v>
      </c>
      <c r="J1805" s="10">
        <v>40100</v>
      </c>
      <c r="K1805" s="10">
        <v>40100</v>
      </c>
      <c r="L1805" s="10">
        <v>34813</v>
      </c>
      <c r="M1805" s="10">
        <v>26647</v>
      </c>
      <c r="N1805" s="10"/>
      <c r="O1805" s="10"/>
      <c r="P1805" s="10"/>
      <c r="Q1805" s="10"/>
      <c r="R1805" s="10"/>
      <c r="T1805" s="10">
        <f t="shared" si="507"/>
        <v>22010</v>
      </c>
    </row>
    <row r="1806" spans="2:20" x14ac:dyDescent="0.25">
      <c r="B1806" s="97">
        <f t="shared" si="510"/>
        <v>1016</v>
      </c>
      <c r="C1806" s="29"/>
      <c r="D1806" s="29"/>
      <c r="E1806" s="29"/>
      <c r="F1806" s="53" t="s">
        <v>571</v>
      </c>
      <c r="G1806" s="125">
        <v>640</v>
      </c>
      <c r="H1806" s="29" t="s">
        <v>315</v>
      </c>
      <c r="I1806" s="15">
        <v>1933</v>
      </c>
      <c r="J1806" s="15">
        <v>3490</v>
      </c>
      <c r="K1806" s="15">
        <v>4390</v>
      </c>
      <c r="L1806" s="15">
        <f>4726+2344</f>
        <v>7070</v>
      </c>
      <c r="M1806" s="15">
        <f>123+3946</f>
        <v>4069</v>
      </c>
      <c r="N1806" s="15"/>
      <c r="O1806" s="15"/>
      <c r="P1806" s="15"/>
      <c r="Q1806" s="15"/>
      <c r="R1806" s="15"/>
      <c r="T1806" s="15">
        <f t="shared" si="507"/>
        <v>1933</v>
      </c>
    </row>
    <row r="1855" spans="2:20" ht="27" x14ac:dyDescent="0.35">
      <c r="B1855" s="310" t="s">
        <v>572</v>
      </c>
      <c r="C1855" s="311"/>
      <c r="D1855" s="311"/>
      <c r="E1855" s="311"/>
      <c r="F1855" s="311"/>
      <c r="G1855" s="311"/>
      <c r="H1855" s="311"/>
      <c r="I1855" s="311"/>
      <c r="J1855" s="311"/>
      <c r="K1855" s="311"/>
      <c r="L1855" s="311"/>
      <c r="M1855" s="311"/>
      <c r="N1855" s="311"/>
      <c r="O1855" s="311"/>
      <c r="P1855" s="311"/>
      <c r="Q1855" s="311"/>
      <c r="R1855" s="311"/>
    </row>
    <row r="1856" spans="2:20" ht="15.75" customHeight="1" x14ac:dyDescent="0.25">
      <c r="B1856" s="279" t="s">
        <v>286</v>
      </c>
      <c r="C1856" s="280"/>
      <c r="D1856" s="280"/>
      <c r="E1856" s="280"/>
      <c r="F1856" s="280"/>
      <c r="G1856" s="280"/>
      <c r="H1856" s="280"/>
      <c r="I1856" s="280"/>
      <c r="J1856" s="280"/>
      <c r="K1856" s="280"/>
      <c r="L1856" s="280"/>
      <c r="M1856" s="280"/>
      <c r="N1856" s="280"/>
      <c r="O1856" s="280"/>
      <c r="P1856" s="280"/>
      <c r="Q1856" s="280"/>
      <c r="R1856" s="281"/>
      <c r="T1856" s="314" t="s">
        <v>937</v>
      </c>
    </row>
    <row r="1857" spans="2:20" ht="12.75" customHeight="1" x14ac:dyDescent="0.25">
      <c r="B1857" s="282"/>
      <c r="C1857" s="285" t="s">
        <v>287</v>
      </c>
      <c r="D1857" s="285" t="s">
        <v>288</v>
      </c>
      <c r="E1857" s="285" t="s">
        <v>289</v>
      </c>
      <c r="F1857" s="285" t="s">
        <v>290</v>
      </c>
      <c r="G1857" s="303" t="s">
        <v>291</v>
      </c>
      <c r="H1857" s="305" t="s">
        <v>292</v>
      </c>
      <c r="I1857" s="308" t="s">
        <v>935</v>
      </c>
      <c r="J1857" s="299" t="s">
        <v>293</v>
      </c>
      <c r="K1857" s="299" t="s">
        <v>294</v>
      </c>
      <c r="L1857" s="288" t="s">
        <v>295</v>
      </c>
      <c r="M1857" s="288" t="s">
        <v>296</v>
      </c>
      <c r="N1857" s="301" t="s">
        <v>936</v>
      </c>
      <c r="O1857" s="297" t="s">
        <v>297</v>
      </c>
      <c r="P1857" s="299" t="s">
        <v>772</v>
      </c>
      <c r="Q1857" s="288" t="s">
        <v>298</v>
      </c>
      <c r="R1857" s="288" t="s">
        <v>299</v>
      </c>
      <c r="T1857" s="314"/>
    </row>
    <row r="1858" spans="2:20" x14ac:dyDescent="0.25">
      <c r="B1858" s="283"/>
      <c r="C1858" s="286"/>
      <c r="D1858" s="286"/>
      <c r="E1858" s="286"/>
      <c r="F1858" s="286"/>
      <c r="G1858" s="303"/>
      <c r="H1858" s="306"/>
      <c r="I1858" s="308"/>
      <c r="J1858" s="299"/>
      <c r="K1858" s="299"/>
      <c r="L1858" s="288"/>
      <c r="M1858" s="288"/>
      <c r="N1858" s="301"/>
      <c r="O1858" s="297"/>
      <c r="P1858" s="299"/>
      <c r="Q1858" s="288"/>
      <c r="R1858" s="288"/>
      <c r="T1858" s="314"/>
    </row>
    <row r="1859" spans="2:20" x14ac:dyDescent="0.25">
      <c r="B1859" s="283"/>
      <c r="C1859" s="286"/>
      <c r="D1859" s="286"/>
      <c r="E1859" s="286"/>
      <c r="F1859" s="286"/>
      <c r="G1859" s="303"/>
      <c r="H1859" s="306"/>
      <c r="I1859" s="308"/>
      <c r="J1859" s="299"/>
      <c r="K1859" s="299"/>
      <c r="L1859" s="288"/>
      <c r="M1859" s="288"/>
      <c r="N1859" s="301"/>
      <c r="O1859" s="297"/>
      <c r="P1859" s="299"/>
      <c r="Q1859" s="288"/>
      <c r="R1859" s="288"/>
      <c r="T1859" s="314"/>
    </row>
    <row r="1860" spans="2:20" ht="15.75" thickBot="1" x14ac:dyDescent="0.3">
      <c r="B1860" s="284"/>
      <c r="C1860" s="287"/>
      <c r="D1860" s="287"/>
      <c r="E1860" s="287"/>
      <c r="F1860" s="287"/>
      <c r="G1860" s="304"/>
      <c r="H1860" s="307"/>
      <c r="I1860" s="309"/>
      <c r="J1860" s="300"/>
      <c r="K1860" s="300"/>
      <c r="L1860" s="289"/>
      <c r="M1860" s="289"/>
      <c r="N1860" s="302"/>
      <c r="O1860" s="298"/>
      <c r="P1860" s="300"/>
      <c r="Q1860" s="289"/>
      <c r="R1860" s="289"/>
      <c r="T1860" s="314"/>
    </row>
    <row r="1861" spans="2:20" ht="16.5" thickTop="1" x14ac:dyDescent="0.25">
      <c r="B1861" s="98">
        <v>1</v>
      </c>
      <c r="C1861" s="290" t="s">
        <v>572</v>
      </c>
      <c r="D1861" s="291"/>
      <c r="E1861" s="291"/>
      <c r="F1861" s="291"/>
      <c r="G1861" s="291"/>
      <c r="H1861" s="292"/>
      <c r="I1861" s="44">
        <f>I1862+I1870+I1890+I1986</f>
        <v>1985544</v>
      </c>
      <c r="J1861" s="44">
        <f>J1986+J1890+J1870+J1862</f>
        <v>1324500</v>
      </c>
      <c r="K1861" s="44">
        <f>K1986+K1890+K1870+K1862</f>
        <v>1692334</v>
      </c>
      <c r="L1861" s="44">
        <f>L1986+L1890+L1870+L1862</f>
        <v>1286437.3599999999</v>
      </c>
      <c r="M1861" s="44">
        <f>M1986+M1890+M1870+M1862</f>
        <v>1247203.03</v>
      </c>
      <c r="N1861" s="44">
        <f>N1862+N1870+N1890+N1986</f>
        <v>986080</v>
      </c>
      <c r="O1861" s="44">
        <f>O1986+O1890+O1870+O1862</f>
        <v>989855</v>
      </c>
      <c r="P1861" s="44">
        <f>P1986+P1890+P1870+P1862</f>
        <v>1070755</v>
      </c>
      <c r="Q1861" s="44">
        <f>Q1986+Q1890+Q1870+Q1862</f>
        <v>51585.630000000005</v>
      </c>
      <c r="R1861" s="44">
        <f>R1986+R1890+R1870+R1862</f>
        <v>323594.08</v>
      </c>
      <c r="T1861" s="44">
        <f>I1861+N1861</f>
        <v>2971624</v>
      </c>
    </row>
    <row r="1862" spans="2:20" ht="15.75" x14ac:dyDescent="0.25">
      <c r="B1862" s="97">
        <f>B1861+1</f>
        <v>2</v>
      </c>
      <c r="C1862" s="45">
        <v>1</v>
      </c>
      <c r="D1862" s="293" t="s">
        <v>573</v>
      </c>
      <c r="E1862" s="294"/>
      <c r="F1862" s="294"/>
      <c r="G1862" s="294"/>
      <c r="H1862" s="295"/>
      <c r="I1862" s="46">
        <f>I1866+I1867</f>
        <v>1700</v>
      </c>
      <c r="J1862" s="46">
        <f t="shared" ref="J1862:M1864" si="519">J1863</f>
        <v>1700</v>
      </c>
      <c r="K1862" s="46">
        <f t="shared" si="519"/>
        <v>1700</v>
      </c>
      <c r="L1862" s="46">
        <f t="shared" si="519"/>
        <v>0</v>
      </c>
      <c r="M1862" s="46">
        <f t="shared" si="519"/>
        <v>399</v>
      </c>
      <c r="N1862" s="46">
        <v>0</v>
      </c>
      <c r="O1862" s="46">
        <f t="shared" ref="O1862:R1864" si="520">O1863</f>
        <v>0</v>
      </c>
      <c r="P1862" s="46">
        <f t="shared" si="520"/>
        <v>0</v>
      </c>
      <c r="Q1862" s="46">
        <f t="shared" si="520"/>
        <v>0</v>
      </c>
      <c r="R1862" s="46">
        <f t="shared" si="520"/>
        <v>0</v>
      </c>
      <c r="T1862" s="46">
        <f t="shared" ref="T1862:T1925" si="521">I1862+N1862</f>
        <v>1700</v>
      </c>
    </row>
    <row r="1863" spans="2:20" hidden="1" x14ac:dyDescent="0.25">
      <c r="B1863" s="97">
        <f t="shared" ref="B1863:B1929" si="522">B1862+1</f>
        <v>3</v>
      </c>
      <c r="C1863" s="47"/>
      <c r="D1863" s="47" t="s">
        <v>60</v>
      </c>
      <c r="E1863" s="296"/>
      <c r="F1863" s="294"/>
      <c r="G1863" s="294"/>
      <c r="H1863" s="295"/>
      <c r="I1863" s="48" t="e">
        <f>#REF!+#REF!</f>
        <v>#REF!</v>
      </c>
      <c r="J1863" s="48">
        <f t="shared" si="519"/>
        <v>1700</v>
      </c>
      <c r="K1863" s="48">
        <f t="shared" si="519"/>
        <v>1700</v>
      </c>
      <c r="L1863" s="48">
        <f t="shared" si="519"/>
        <v>0</v>
      </c>
      <c r="M1863" s="48">
        <f t="shared" si="519"/>
        <v>399</v>
      </c>
      <c r="N1863" s="48" t="e">
        <f>#REF!+#REF!</f>
        <v>#REF!</v>
      </c>
      <c r="O1863" s="48">
        <f t="shared" si="520"/>
        <v>0</v>
      </c>
      <c r="P1863" s="48">
        <f t="shared" si="520"/>
        <v>0</v>
      </c>
      <c r="Q1863" s="48">
        <f t="shared" si="520"/>
        <v>0</v>
      </c>
      <c r="R1863" s="48">
        <f t="shared" si="520"/>
        <v>0</v>
      </c>
      <c r="T1863" s="48" t="e">
        <f t="shared" si="521"/>
        <v>#REF!</v>
      </c>
    </row>
    <row r="1864" spans="2:20" hidden="1" x14ac:dyDescent="0.25">
      <c r="B1864" s="97">
        <f t="shared" si="522"/>
        <v>4</v>
      </c>
      <c r="C1864" s="49"/>
      <c r="D1864" s="49"/>
      <c r="E1864" s="49"/>
      <c r="F1864" s="49"/>
      <c r="G1864" s="123"/>
      <c r="H1864" s="49" t="s">
        <v>12</v>
      </c>
      <c r="I1864" s="50" t="e">
        <f>#REF!+#REF!</f>
        <v>#REF!</v>
      </c>
      <c r="J1864" s="50">
        <f t="shared" si="519"/>
        <v>1700</v>
      </c>
      <c r="K1864" s="50">
        <f t="shared" si="519"/>
        <v>1700</v>
      </c>
      <c r="L1864" s="50">
        <f t="shared" si="519"/>
        <v>0</v>
      </c>
      <c r="M1864" s="50">
        <f t="shared" si="519"/>
        <v>399</v>
      </c>
      <c r="N1864" s="50" t="e">
        <f>#REF!+#REF!</f>
        <v>#REF!</v>
      </c>
      <c r="O1864" s="50">
        <f t="shared" si="520"/>
        <v>0</v>
      </c>
      <c r="P1864" s="50">
        <f t="shared" si="520"/>
        <v>0</v>
      </c>
      <c r="Q1864" s="50">
        <f t="shared" si="520"/>
        <v>0</v>
      </c>
      <c r="R1864" s="50">
        <f t="shared" si="520"/>
        <v>0</v>
      </c>
      <c r="T1864" s="50" t="e">
        <f t="shared" si="521"/>
        <v>#REF!</v>
      </c>
    </row>
    <row r="1865" spans="2:20" hidden="1" x14ac:dyDescent="0.25">
      <c r="B1865" s="97">
        <f t="shared" si="522"/>
        <v>5</v>
      </c>
      <c r="C1865" s="51"/>
      <c r="D1865" s="51"/>
      <c r="E1865" s="51" t="s">
        <v>60</v>
      </c>
      <c r="F1865" s="51"/>
      <c r="G1865" s="124"/>
      <c r="H1865" s="51"/>
      <c r="I1865" s="52" t="e">
        <f>#REF!+#REF!</f>
        <v>#REF!</v>
      </c>
      <c r="J1865" s="52">
        <f t="shared" ref="J1865:R1865" si="523">J1867+J1866</f>
        <v>1700</v>
      </c>
      <c r="K1865" s="52">
        <f t="shared" si="523"/>
        <v>1700</v>
      </c>
      <c r="L1865" s="52">
        <f t="shared" si="523"/>
        <v>0</v>
      </c>
      <c r="M1865" s="52">
        <f t="shared" si="523"/>
        <v>399</v>
      </c>
      <c r="N1865" s="52" t="e">
        <f>#REF!+#REF!</f>
        <v>#REF!</v>
      </c>
      <c r="O1865" s="52">
        <f t="shared" si="523"/>
        <v>0</v>
      </c>
      <c r="P1865" s="52">
        <f t="shared" si="523"/>
        <v>0</v>
      </c>
      <c r="Q1865" s="52">
        <f t="shared" si="523"/>
        <v>0</v>
      </c>
      <c r="R1865" s="52">
        <f t="shared" si="523"/>
        <v>0</v>
      </c>
      <c r="T1865" s="52" t="e">
        <f t="shared" si="521"/>
        <v>#REF!</v>
      </c>
    </row>
    <row r="1866" spans="2:20" x14ac:dyDescent="0.25">
      <c r="B1866" s="97">
        <f>B1862+1</f>
        <v>3</v>
      </c>
      <c r="C1866" s="29"/>
      <c r="D1866" s="29"/>
      <c r="E1866" s="29"/>
      <c r="F1866" s="53" t="s">
        <v>574</v>
      </c>
      <c r="G1866" s="125">
        <v>620</v>
      </c>
      <c r="H1866" s="29" t="s">
        <v>313</v>
      </c>
      <c r="I1866" s="15">
        <v>0</v>
      </c>
      <c r="J1866" s="15">
        <v>0</v>
      </c>
      <c r="K1866" s="15"/>
      <c r="L1866" s="15"/>
      <c r="M1866" s="15">
        <v>98</v>
      </c>
      <c r="N1866" s="15"/>
      <c r="O1866" s="15"/>
      <c r="P1866" s="15"/>
      <c r="Q1866" s="15"/>
      <c r="R1866" s="15"/>
      <c r="T1866" s="15">
        <f t="shared" si="521"/>
        <v>0</v>
      </c>
    </row>
    <row r="1867" spans="2:20" x14ac:dyDescent="0.25">
      <c r="B1867" s="97">
        <f t="shared" si="522"/>
        <v>4</v>
      </c>
      <c r="C1867" s="29"/>
      <c r="D1867" s="29"/>
      <c r="E1867" s="29"/>
      <c r="F1867" s="53" t="s">
        <v>574</v>
      </c>
      <c r="G1867" s="125">
        <v>630</v>
      </c>
      <c r="H1867" s="29" t="s">
        <v>303</v>
      </c>
      <c r="I1867" s="15">
        <f>SUM(I1868:I1869)</f>
        <v>1700</v>
      </c>
      <c r="J1867" s="15">
        <f t="shared" ref="J1867:M1867" si="524">J1869+J1868</f>
        <v>1700</v>
      </c>
      <c r="K1867" s="15">
        <f t="shared" si="524"/>
        <v>1700</v>
      </c>
      <c r="L1867" s="15">
        <f t="shared" si="524"/>
        <v>0</v>
      </c>
      <c r="M1867" s="15">
        <f t="shared" si="524"/>
        <v>301</v>
      </c>
      <c r="N1867" s="15"/>
      <c r="O1867" s="15"/>
      <c r="P1867" s="15"/>
      <c r="Q1867" s="15"/>
      <c r="R1867" s="15"/>
      <c r="T1867" s="15">
        <f t="shared" si="521"/>
        <v>1700</v>
      </c>
    </row>
    <row r="1868" spans="2:20" x14ac:dyDescent="0.25">
      <c r="B1868" s="97">
        <f t="shared" si="522"/>
        <v>5</v>
      </c>
      <c r="C1868" s="9"/>
      <c r="D1868" s="9"/>
      <c r="E1868" s="9"/>
      <c r="F1868" s="54" t="s">
        <v>574</v>
      </c>
      <c r="G1868" s="126">
        <v>633</v>
      </c>
      <c r="H1868" s="9" t="s">
        <v>305</v>
      </c>
      <c r="I1868" s="10">
        <v>1700</v>
      </c>
      <c r="J1868" s="10">
        <v>1700</v>
      </c>
      <c r="K1868" s="10">
        <v>1700</v>
      </c>
      <c r="L1868" s="10">
        <v>0</v>
      </c>
      <c r="M1868" s="10">
        <v>0</v>
      </c>
      <c r="N1868" s="10"/>
      <c r="O1868" s="10"/>
      <c r="P1868" s="10"/>
      <c r="Q1868" s="10"/>
      <c r="R1868" s="10"/>
      <c r="T1868" s="10">
        <f t="shared" si="521"/>
        <v>1700</v>
      </c>
    </row>
    <row r="1869" spans="2:20" x14ac:dyDescent="0.25">
      <c r="B1869" s="97">
        <f t="shared" si="522"/>
        <v>6</v>
      </c>
      <c r="C1869" s="9"/>
      <c r="D1869" s="9"/>
      <c r="E1869" s="9"/>
      <c r="F1869" s="54" t="s">
        <v>574</v>
      </c>
      <c r="G1869" s="126">
        <v>637</v>
      </c>
      <c r="H1869" s="9" t="s">
        <v>308</v>
      </c>
      <c r="I1869" s="10">
        <v>0</v>
      </c>
      <c r="J1869" s="10">
        <v>0</v>
      </c>
      <c r="K1869" s="10"/>
      <c r="L1869" s="10"/>
      <c r="M1869" s="10">
        <v>301</v>
      </c>
      <c r="N1869" s="10"/>
      <c r="O1869" s="10"/>
      <c r="P1869" s="10"/>
      <c r="Q1869" s="10"/>
      <c r="R1869" s="10"/>
      <c r="T1869" s="10">
        <f t="shared" si="521"/>
        <v>0</v>
      </c>
    </row>
    <row r="1870" spans="2:20" ht="15.75" x14ac:dyDescent="0.25">
      <c r="B1870" s="97">
        <f t="shared" si="522"/>
        <v>7</v>
      </c>
      <c r="C1870" s="45">
        <v>2</v>
      </c>
      <c r="D1870" s="293" t="s">
        <v>575</v>
      </c>
      <c r="E1870" s="294"/>
      <c r="F1870" s="294"/>
      <c r="G1870" s="294"/>
      <c r="H1870" s="295"/>
      <c r="I1870" s="46">
        <f>I1874</f>
        <v>584638</v>
      </c>
      <c r="J1870" s="46">
        <f t="shared" ref="J1870:M1873" si="525">J1871</f>
        <v>72500</v>
      </c>
      <c r="K1870" s="46">
        <f t="shared" si="525"/>
        <v>390934</v>
      </c>
      <c r="L1870" s="46">
        <f t="shared" si="525"/>
        <v>131550</v>
      </c>
      <c r="M1870" s="46">
        <f t="shared" si="525"/>
        <v>134383</v>
      </c>
      <c r="N1870" s="46">
        <v>0</v>
      </c>
      <c r="O1870" s="46">
        <f t="shared" ref="O1870:R1873" si="526">O1871</f>
        <v>0</v>
      </c>
      <c r="P1870" s="46">
        <f t="shared" si="526"/>
        <v>0</v>
      </c>
      <c r="Q1870" s="46">
        <f t="shared" si="526"/>
        <v>0</v>
      </c>
      <c r="R1870" s="46">
        <f t="shared" si="526"/>
        <v>0</v>
      </c>
      <c r="T1870" s="46">
        <f t="shared" si="521"/>
        <v>584638</v>
      </c>
    </row>
    <row r="1871" spans="2:20" hidden="1" x14ac:dyDescent="0.25">
      <c r="B1871" s="97">
        <f t="shared" si="522"/>
        <v>8</v>
      </c>
      <c r="C1871" s="47"/>
      <c r="D1871" s="47" t="s">
        <v>60</v>
      </c>
      <c r="E1871" s="296"/>
      <c r="F1871" s="294"/>
      <c r="G1871" s="294"/>
      <c r="H1871" s="295"/>
      <c r="I1871" s="48" t="e">
        <f>#REF!+#REF!</f>
        <v>#REF!</v>
      </c>
      <c r="J1871" s="48">
        <f t="shared" si="525"/>
        <v>72500</v>
      </c>
      <c r="K1871" s="48">
        <f t="shared" si="525"/>
        <v>390934</v>
      </c>
      <c r="L1871" s="48">
        <f t="shared" si="525"/>
        <v>131550</v>
      </c>
      <c r="M1871" s="48">
        <f t="shared" si="525"/>
        <v>134383</v>
      </c>
      <c r="N1871" s="48" t="e">
        <f>#REF!+#REF!</f>
        <v>#REF!</v>
      </c>
      <c r="O1871" s="48">
        <f t="shared" si="526"/>
        <v>0</v>
      </c>
      <c r="P1871" s="48">
        <f t="shared" si="526"/>
        <v>0</v>
      </c>
      <c r="Q1871" s="48">
        <f t="shared" si="526"/>
        <v>0</v>
      </c>
      <c r="R1871" s="48">
        <f t="shared" si="526"/>
        <v>0</v>
      </c>
      <c r="T1871" s="48" t="e">
        <f t="shared" si="521"/>
        <v>#REF!</v>
      </c>
    </row>
    <row r="1872" spans="2:20" hidden="1" x14ac:dyDescent="0.25">
      <c r="B1872" s="97">
        <f t="shared" si="522"/>
        <v>9</v>
      </c>
      <c r="C1872" s="49"/>
      <c r="D1872" s="49"/>
      <c r="E1872" s="49"/>
      <c r="F1872" s="49"/>
      <c r="G1872" s="123"/>
      <c r="H1872" s="49" t="s">
        <v>12</v>
      </c>
      <c r="I1872" s="50" t="e">
        <f>#REF!+#REF!</f>
        <v>#REF!</v>
      </c>
      <c r="J1872" s="50">
        <f t="shared" si="525"/>
        <v>72500</v>
      </c>
      <c r="K1872" s="50">
        <f t="shared" si="525"/>
        <v>390934</v>
      </c>
      <c r="L1872" s="50">
        <f t="shared" si="525"/>
        <v>131550</v>
      </c>
      <c r="M1872" s="50">
        <f t="shared" si="525"/>
        <v>134383</v>
      </c>
      <c r="N1872" s="50" t="e">
        <f>#REF!+#REF!</f>
        <v>#REF!</v>
      </c>
      <c r="O1872" s="50">
        <f t="shared" si="526"/>
        <v>0</v>
      </c>
      <c r="P1872" s="50">
        <f t="shared" si="526"/>
        <v>0</v>
      </c>
      <c r="Q1872" s="50">
        <f t="shared" si="526"/>
        <v>0</v>
      </c>
      <c r="R1872" s="50">
        <f t="shared" si="526"/>
        <v>0</v>
      </c>
      <c r="T1872" s="50" t="e">
        <f t="shared" si="521"/>
        <v>#REF!</v>
      </c>
    </row>
    <row r="1873" spans="2:20" hidden="1" x14ac:dyDescent="0.25">
      <c r="B1873" s="97">
        <f t="shared" si="522"/>
        <v>10</v>
      </c>
      <c r="C1873" s="51"/>
      <c r="D1873" s="51"/>
      <c r="E1873" s="51" t="s">
        <v>60</v>
      </c>
      <c r="F1873" s="51"/>
      <c r="G1873" s="124"/>
      <c r="H1873" s="51"/>
      <c r="I1873" s="52" t="e">
        <f>#REF!+#REF!</f>
        <v>#REF!</v>
      </c>
      <c r="J1873" s="52">
        <f t="shared" si="525"/>
        <v>72500</v>
      </c>
      <c r="K1873" s="52">
        <f t="shared" si="525"/>
        <v>390934</v>
      </c>
      <c r="L1873" s="52">
        <f t="shared" si="525"/>
        <v>131550</v>
      </c>
      <c r="M1873" s="52">
        <f t="shared" si="525"/>
        <v>134383</v>
      </c>
      <c r="N1873" s="52" t="e">
        <f>#REF!+#REF!</f>
        <v>#REF!</v>
      </c>
      <c r="O1873" s="52">
        <f t="shared" si="526"/>
        <v>0</v>
      </c>
      <c r="P1873" s="52">
        <f t="shared" si="526"/>
        <v>0</v>
      </c>
      <c r="Q1873" s="52">
        <f t="shared" si="526"/>
        <v>0</v>
      </c>
      <c r="R1873" s="52">
        <f t="shared" si="526"/>
        <v>0</v>
      </c>
      <c r="T1873" s="52" t="e">
        <f t="shared" si="521"/>
        <v>#REF!</v>
      </c>
    </row>
    <row r="1874" spans="2:20" x14ac:dyDescent="0.25">
      <c r="B1874" s="97">
        <f t="shared" si="522"/>
        <v>11</v>
      </c>
      <c r="C1874" s="29"/>
      <c r="D1874" s="29"/>
      <c r="E1874" s="29"/>
      <c r="F1874" s="53" t="s">
        <v>574</v>
      </c>
      <c r="G1874" s="125">
        <v>640</v>
      </c>
      <c r="H1874" s="29" t="s">
        <v>315</v>
      </c>
      <c r="I1874" s="15">
        <f>SUM(I1875:I1889)</f>
        <v>584638</v>
      </c>
      <c r="J1874" s="15">
        <f t="shared" ref="J1874:M1874" si="527">SUM(J1875:J1889)</f>
        <v>72500</v>
      </c>
      <c r="K1874" s="15">
        <f t="shared" si="527"/>
        <v>390934</v>
      </c>
      <c r="L1874" s="15">
        <f t="shared" si="527"/>
        <v>131550</v>
      </c>
      <c r="M1874" s="15">
        <f t="shared" si="527"/>
        <v>134383</v>
      </c>
      <c r="N1874" s="15"/>
      <c r="O1874" s="15"/>
      <c r="P1874" s="15"/>
      <c r="Q1874" s="15"/>
      <c r="R1874" s="15"/>
      <c r="T1874" s="15">
        <f t="shared" si="521"/>
        <v>584638</v>
      </c>
    </row>
    <row r="1875" spans="2:20" x14ac:dyDescent="0.25">
      <c r="B1875" s="97">
        <f t="shared" si="522"/>
        <v>12</v>
      </c>
      <c r="C1875" s="9"/>
      <c r="D1875" s="9"/>
      <c r="E1875" s="9"/>
      <c r="F1875" s="54"/>
      <c r="G1875" s="126"/>
      <c r="H1875" s="9" t="s">
        <v>707</v>
      </c>
      <c r="I1875" s="16">
        <f>20000+30000</f>
        <v>50000</v>
      </c>
      <c r="J1875" s="10">
        <v>50000</v>
      </c>
      <c r="K1875" s="10">
        <v>40000</v>
      </c>
      <c r="L1875" s="10">
        <v>25050</v>
      </c>
      <c r="M1875" s="10">
        <v>26183</v>
      </c>
      <c r="N1875" s="10"/>
      <c r="O1875" s="10"/>
      <c r="P1875" s="10"/>
      <c r="Q1875" s="10"/>
      <c r="R1875" s="10"/>
      <c r="T1875" s="10">
        <f t="shared" si="521"/>
        <v>50000</v>
      </c>
    </row>
    <row r="1876" spans="2:20" x14ac:dyDescent="0.25">
      <c r="B1876" s="97">
        <f t="shared" si="522"/>
        <v>13</v>
      </c>
      <c r="C1876" s="9"/>
      <c r="D1876" s="9"/>
      <c r="E1876" s="9"/>
      <c r="F1876" s="54"/>
      <c r="G1876" s="126"/>
      <c r="H1876" s="9" t="s">
        <v>576</v>
      </c>
      <c r="I1876" s="16">
        <f>500+9500</f>
        <v>10000</v>
      </c>
      <c r="J1876" s="10">
        <v>5000</v>
      </c>
      <c r="K1876" s="10">
        <v>5000</v>
      </c>
      <c r="L1876" s="10">
        <v>5000</v>
      </c>
      <c r="M1876" s="10">
        <v>5000</v>
      </c>
      <c r="N1876" s="10"/>
      <c r="O1876" s="10"/>
      <c r="P1876" s="10"/>
      <c r="Q1876" s="10"/>
      <c r="R1876" s="10"/>
      <c r="T1876" s="10">
        <f t="shared" si="521"/>
        <v>10000</v>
      </c>
    </row>
    <row r="1877" spans="2:20" x14ac:dyDescent="0.25">
      <c r="B1877" s="97">
        <f t="shared" si="522"/>
        <v>14</v>
      </c>
      <c r="C1877" s="9"/>
      <c r="D1877" s="9"/>
      <c r="E1877" s="9"/>
      <c r="F1877" s="54"/>
      <c r="G1877" s="126"/>
      <c r="H1877" s="9" t="s">
        <v>708</v>
      </c>
      <c r="I1877" s="16">
        <f>500+500+500+1000+1000+16500</f>
        <v>20000</v>
      </c>
      <c r="J1877" s="10">
        <v>8500</v>
      </c>
      <c r="K1877" s="10">
        <v>18500</v>
      </c>
      <c r="L1877" s="10">
        <v>8500</v>
      </c>
      <c r="M1877" s="10"/>
      <c r="N1877" s="10"/>
      <c r="O1877" s="10"/>
      <c r="P1877" s="10"/>
      <c r="Q1877" s="10"/>
      <c r="R1877" s="10"/>
      <c r="T1877" s="10">
        <f t="shared" si="521"/>
        <v>20000</v>
      </c>
    </row>
    <row r="1878" spans="2:20" x14ac:dyDescent="0.25">
      <c r="B1878" s="97">
        <f t="shared" si="522"/>
        <v>15</v>
      </c>
      <c r="C1878" s="9"/>
      <c r="D1878" s="9"/>
      <c r="E1878" s="9"/>
      <c r="F1878" s="54"/>
      <c r="G1878" s="126"/>
      <c r="H1878" s="9" t="s">
        <v>709</v>
      </c>
      <c r="I1878" s="16">
        <f>200000-100000</f>
        <v>100000</v>
      </c>
      <c r="J1878" s="10"/>
      <c r="K1878" s="10"/>
      <c r="L1878" s="10"/>
      <c r="M1878" s="10"/>
      <c r="N1878" s="10"/>
      <c r="O1878" s="10"/>
      <c r="P1878" s="10"/>
      <c r="Q1878" s="10"/>
      <c r="R1878" s="10"/>
      <c r="T1878" s="10">
        <f t="shared" si="521"/>
        <v>100000</v>
      </c>
    </row>
    <row r="1879" spans="2:20" s="104" customFormat="1" ht="24" x14ac:dyDescent="0.25">
      <c r="B1879" s="97">
        <f t="shared" si="522"/>
        <v>16</v>
      </c>
      <c r="C1879" s="100"/>
      <c r="D1879" s="100"/>
      <c r="E1879" s="100"/>
      <c r="F1879" s="101"/>
      <c r="G1879" s="130"/>
      <c r="H1879" s="102" t="s">
        <v>715</v>
      </c>
      <c r="I1879" s="105">
        <v>119655</v>
      </c>
      <c r="J1879" s="103"/>
      <c r="K1879" s="103">
        <v>90274</v>
      </c>
      <c r="L1879" s="103"/>
      <c r="M1879" s="103"/>
      <c r="N1879" s="103"/>
      <c r="O1879" s="103"/>
      <c r="P1879" s="103"/>
      <c r="Q1879" s="103"/>
      <c r="R1879" s="103"/>
      <c r="T1879" s="103">
        <f t="shared" si="521"/>
        <v>119655</v>
      </c>
    </row>
    <row r="1880" spans="2:20" s="104" customFormat="1" ht="24" x14ac:dyDescent="0.25">
      <c r="B1880" s="97">
        <f t="shared" si="522"/>
        <v>17</v>
      </c>
      <c r="C1880" s="100"/>
      <c r="D1880" s="100"/>
      <c r="E1880" s="100"/>
      <c r="F1880" s="101"/>
      <c r="G1880" s="130"/>
      <c r="H1880" s="102" t="s">
        <v>716</v>
      </c>
      <c r="I1880" s="105">
        <v>198910</v>
      </c>
      <c r="J1880" s="103"/>
      <c r="K1880" s="103">
        <v>133448</v>
      </c>
      <c r="L1880" s="103"/>
      <c r="M1880" s="103"/>
      <c r="N1880" s="103"/>
      <c r="O1880" s="103"/>
      <c r="P1880" s="103"/>
      <c r="Q1880" s="103"/>
      <c r="R1880" s="103"/>
      <c r="T1880" s="103">
        <f t="shared" si="521"/>
        <v>198910</v>
      </c>
    </row>
    <row r="1881" spans="2:20" s="104" customFormat="1" ht="30" customHeight="1" x14ac:dyDescent="0.25">
      <c r="B1881" s="97">
        <f t="shared" si="522"/>
        <v>18</v>
      </c>
      <c r="C1881" s="100"/>
      <c r="D1881" s="100"/>
      <c r="E1881" s="100"/>
      <c r="F1881" s="101"/>
      <c r="G1881" s="130"/>
      <c r="H1881" s="102" t="s">
        <v>713</v>
      </c>
      <c r="I1881" s="105">
        <v>27347</v>
      </c>
      <c r="J1881" s="103"/>
      <c r="K1881" s="103">
        <v>18349</v>
      </c>
      <c r="L1881" s="103"/>
      <c r="M1881" s="103"/>
      <c r="N1881" s="103"/>
      <c r="O1881" s="103"/>
      <c r="P1881" s="103"/>
      <c r="Q1881" s="103"/>
      <c r="R1881" s="103"/>
      <c r="T1881" s="103">
        <f t="shared" si="521"/>
        <v>27347</v>
      </c>
    </row>
    <row r="1882" spans="2:20" s="104" customFormat="1" ht="26.25" customHeight="1" x14ac:dyDescent="0.25">
      <c r="B1882" s="97">
        <f t="shared" si="522"/>
        <v>19</v>
      </c>
      <c r="C1882" s="100"/>
      <c r="D1882" s="100"/>
      <c r="E1882" s="100"/>
      <c r="F1882" s="101"/>
      <c r="G1882" s="130"/>
      <c r="H1882" s="102" t="s">
        <v>714</v>
      </c>
      <c r="I1882" s="105">
        <v>49726</v>
      </c>
      <c r="J1882" s="103"/>
      <c r="K1882" s="103">
        <v>33363</v>
      </c>
      <c r="L1882" s="103"/>
      <c r="M1882" s="103"/>
      <c r="N1882" s="103"/>
      <c r="O1882" s="103"/>
      <c r="P1882" s="103"/>
      <c r="Q1882" s="103"/>
      <c r="R1882" s="103"/>
      <c r="T1882" s="103">
        <f t="shared" si="521"/>
        <v>49726</v>
      </c>
    </row>
    <row r="1883" spans="2:20" x14ac:dyDescent="0.25">
      <c r="B1883" s="97">
        <f t="shared" si="522"/>
        <v>20</v>
      </c>
      <c r="C1883" s="9"/>
      <c r="D1883" s="9"/>
      <c r="E1883" s="9"/>
      <c r="F1883" s="54"/>
      <c r="G1883" s="126"/>
      <c r="H1883" s="9" t="s">
        <v>710</v>
      </c>
      <c r="I1883" s="16">
        <v>2000</v>
      </c>
      <c r="J1883" s="10">
        <v>2000</v>
      </c>
      <c r="K1883" s="10">
        <v>2000</v>
      </c>
      <c r="L1883" s="10">
        <v>2000</v>
      </c>
      <c r="M1883" s="10"/>
      <c r="N1883" s="10"/>
      <c r="O1883" s="10"/>
      <c r="P1883" s="10"/>
      <c r="Q1883" s="10"/>
      <c r="R1883" s="10"/>
      <c r="T1883" s="10">
        <f t="shared" si="521"/>
        <v>2000</v>
      </c>
    </row>
    <row r="1884" spans="2:20" x14ac:dyDescent="0.25">
      <c r="B1884" s="97">
        <f t="shared" si="522"/>
        <v>21</v>
      </c>
      <c r="C1884" s="9"/>
      <c r="D1884" s="9"/>
      <c r="E1884" s="9"/>
      <c r="F1884" s="54"/>
      <c r="G1884" s="126"/>
      <c r="H1884" s="9" t="s">
        <v>711</v>
      </c>
      <c r="I1884" s="16">
        <v>4000</v>
      </c>
      <c r="J1884" s="10">
        <v>4000</v>
      </c>
      <c r="K1884" s="10">
        <v>4000</v>
      </c>
      <c r="L1884" s="10">
        <v>2000</v>
      </c>
      <c r="M1884" s="10"/>
      <c r="N1884" s="10"/>
      <c r="O1884" s="10"/>
      <c r="P1884" s="10"/>
      <c r="Q1884" s="10"/>
      <c r="R1884" s="10"/>
      <c r="T1884" s="10">
        <f t="shared" si="521"/>
        <v>4000</v>
      </c>
    </row>
    <row r="1885" spans="2:20" x14ac:dyDescent="0.25">
      <c r="B1885" s="97">
        <f t="shared" si="522"/>
        <v>22</v>
      </c>
      <c r="C1885" s="9"/>
      <c r="D1885" s="9"/>
      <c r="E1885" s="9"/>
      <c r="F1885" s="54"/>
      <c r="G1885" s="126"/>
      <c r="H1885" s="9" t="s">
        <v>712</v>
      </c>
      <c r="I1885" s="16">
        <v>3000</v>
      </c>
      <c r="J1885" s="10">
        <v>3000</v>
      </c>
      <c r="K1885" s="10">
        <v>7000</v>
      </c>
      <c r="L1885" s="10">
        <v>3000</v>
      </c>
      <c r="M1885" s="10"/>
      <c r="N1885" s="10"/>
      <c r="O1885" s="10"/>
      <c r="P1885" s="10"/>
      <c r="Q1885" s="10"/>
      <c r="R1885" s="10"/>
      <c r="T1885" s="10">
        <f t="shared" si="521"/>
        <v>3000</v>
      </c>
    </row>
    <row r="1886" spans="2:20" s="104" customFormat="1" x14ac:dyDescent="0.25">
      <c r="B1886" s="97">
        <f t="shared" si="522"/>
        <v>23</v>
      </c>
      <c r="C1886" s="100"/>
      <c r="D1886" s="100"/>
      <c r="E1886" s="100"/>
      <c r="F1886" s="101"/>
      <c r="G1886" s="130"/>
      <c r="H1886" s="102" t="s">
        <v>717</v>
      </c>
      <c r="I1886" s="105"/>
      <c r="J1886" s="103"/>
      <c r="K1886" s="103">
        <v>2500</v>
      </c>
      <c r="L1886" s="103"/>
      <c r="M1886" s="103"/>
      <c r="N1886" s="103"/>
      <c r="O1886" s="103"/>
      <c r="P1886" s="103"/>
      <c r="Q1886" s="103"/>
      <c r="R1886" s="103"/>
      <c r="T1886" s="103">
        <f t="shared" si="521"/>
        <v>0</v>
      </c>
    </row>
    <row r="1887" spans="2:20" s="104" customFormat="1" ht="24" x14ac:dyDescent="0.25">
      <c r="B1887" s="97">
        <f t="shared" si="522"/>
        <v>24</v>
      </c>
      <c r="C1887" s="100"/>
      <c r="D1887" s="100"/>
      <c r="E1887" s="100"/>
      <c r="F1887" s="101"/>
      <c r="G1887" s="130"/>
      <c r="H1887" s="102" t="s">
        <v>718</v>
      </c>
      <c r="I1887" s="105"/>
      <c r="J1887" s="103"/>
      <c r="K1887" s="103">
        <v>2500</v>
      </c>
      <c r="L1887" s="103"/>
      <c r="M1887" s="103"/>
      <c r="N1887" s="103"/>
      <c r="O1887" s="103"/>
      <c r="P1887" s="103"/>
      <c r="Q1887" s="103"/>
      <c r="R1887" s="103"/>
      <c r="T1887" s="103">
        <f t="shared" si="521"/>
        <v>0</v>
      </c>
    </row>
    <row r="1888" spans="2:20" s="104" customFormat="1" ht="24" x14ac:dyDescent="0.25">
      <c r="B1888" s="97">
        <f t="shared" si="522"/>
        <v>25</v>
      </c>
      <c r="C1888" s="100"/>
      <c r="D1888" s="100"/>
      <c r="E1888" s="100"/>
      <c r="F1888" s="101"/>
      <c r="G1888" s="130"/>
      <c r="H1888" s="102" t="s">
        <v>577</v>
      </c>
      <c r="I1888" s="103"/>
      <c r="J1888" s="103"/>
      <c r="K1888" s="103">
        <v>30000</v>
      </c>
      <c r="L1888" s="103"/>
      <c r="M1888" s="103"/>
      <c r="N1888" s="103"/>
      <c r="O1888" s="103"/>
      <c r="P1888" s="103"/>
      <c r="Q1888" s="103"/>
      <c r="R1888" s="103"/>
      <c r="T1888" s="103">
        <f t="shared" si="521"/>
        <v>0</v>
      </c>
    </row>
    <row r="1889" spans="2:20" s="104" customFormat="1" x14ac:dyDescent="0.25">
      <c r="B1889" s="97">
        <f t="shared" si="522"/>
        <v>26</v>
      </c>
      <c r="C1889" s="100"/>
      <c r="D1889" s="100"/>
      <c r="E1889" s="100"/>
      <c r="F1889" s="101"/>
      <c r="G1889" s="130"/>
      <c r="H1889" s="102" t="s">
        <v>719</v>
      </c>
      <c r="I1889" s="103"/>
      <c r="J1889" s="103"/>
      <c r="K1889" s="103">
        <v>4000</v>
      </c>
      <c r="L1889" s="103">
        <f>1500+8000+1500+45000+30000</f>
        <v>86000</v>
      </c>
      <c r="M1889" s="103">
        <f>2500+3000+1500+45000+50000+1200</f>
        <v>103200</v>
      </c>
      <c r="N1889" s="103"/>
      <c r="O1889" s="103"/>
      <c r="P1889" s="103"/>
      <c r="Q1889" s="103"/>
      <c r="R1889" s="103"/>
      <c r="T1889" s="103">
        <f t="shared" si="521"/>
        <v>0</v>
      </c>
    </row>
    <row r="1890" spans="2:20" ht="15.75" x14ac:dyDescent="0.25">
      <c r="B1890" s="97">
        <f t="shared" si="522"/>
        <v>27</v>
      </c>
      <c r="C1890" s="45">
        <v>3</v>
      </c>
      <c r="D1890" s="293" t="s">
        <v>578</v>
      </c>
      <c r="E1890" s="294"/>
      <c r="F1890" s="294"/>
      <c r="G1890" s="294"/>
      <c r="H1890" s="295"/>
      <c r="I1890" s="46">
        <f>I1891+I1899+I1917+I1942+I1973</f>
        <v>1342187</v>
      </c>
      <c r="J1890" s="46">
        <f>J1973+J1942+J1917+J1899+J1891</f>
        <v>1230300</v>
      </c>
      <c r="K1890" s="46">
        <f>K1973+K1942+K1917+K1899+K1891</f>
        <v>1254400</v>
      </c>
      <c r="L1890" s="46">
        <f>L1973+L1942+L1917+L1899+L1891</f>
        <v>1110209.3599999999</v>
      </c>
      <c r="M1890" s="46">
        <f>M1973+M1942+M1917+M1899+M1891</f>
        <v>1061162.03</v>
      </c>
      <c r="N1890" s="46">
        <f>N1891+N1899+N1917+N1942+N1973</f>
        <v>686580</v>
      </c>
      <c r="O1890" s="46">
        <f>O1973+O1942+O1917+O1899+O1891</f>
        <v>944255</v>
      </c>
      <c r="P1890" s="46">
        <f>P1973+P1942+P1917+P1899+P1891</f>
        <v>924755</v>
      </c>
      <c r="Q1890" s="46">
        <f>Q1973+Q1942+Q1917+Q1899+Q1891</f>
        <v>50086.630000000005</v>
      </c>
      <c r="R1890" s="46">
        <f>R1973+R1942+R1917+R1899+R1891</f>
        <v>314783.08</v>
      </c>
      <c r="T1890" s="46">
        <f t="shared" si="521"/>
        <v>2028767</v>
      </c>
    </row>
    <row r="1891" spans="2:20" x14ac:dyDescent="0.25">
      <c r="B1891" s="97">
        <f t="shared" si="522"/>
        <v>28</v>
      </c>
      <c r="C1891" s="47"/>
      <c r="D1891" s="47">
        <v>1</v>
      </c>
      <c r="E1891" s="296" t="s">
        <v>579</v>
      </c>
      <c r="F1891" s="294"/>
      <c r="G1891" s="294"/>
      <c r="H1891" s="295"/>
      <c r="I1891" s="48">
        <f>I1894+I1897</f>
        <v>160750</v>
      </c>
      <c r="J1891" s="48">
        <f t="shared" ref="J1891:M1892" si="528">J1892</f>
        <v>160750</v>
      </c>
      <c r="K1891" s="48">
        <f t="shared" si="528"/>
        <v>160750</v>
      </c>
      <c r="L1891" s="48">
        <f t="shared" si="528"/>
        <v>160747</v>
      </c>
      <c r="M1891" s="48">
        <f t="shared" si="528"/>
        <v>157006.56</v>
      </c>
      <c r="N1891" s="48">
        <f>N1894</f>
        <v>0</v>
      </c>
      <c r="O1891" s="48">
        <f t="shared" ref="O1891:R1892" si="529">O1892</f>
        <v>0</v>
      </c>
      <c r="P1891" s="48">
        <f t="shared" si="529"/>
        <v>0</v>
      </c>
      <c r="Q1891" s="48">
        <f t="shared" si="529"/>
        <v>0</v>
      </c>
      <c r="R1891" s="48">
        <f t="shared" si="529"/>
        <v>0</v>
      </c>
      <c r="T1891" s="48">
        <f t="shared" si="521"/>
        <v>160750</v>
      </c>
    </row>
    <row r="1892" spans="2:20" hidden="1" x14ac:dyDescent="0.25">
      <c r="B1892" s="97">
        <f t="shared" si="522"/>
        <v>29</v>
      </c>
      <c r="C1892" s="49"/>
      <c r="D1892" s="49"/>
      <c r="E1892" s="49"/>
      <c r="F1892" s="49"/>
      <c r="G1892" s="123"/>
      <c r="H1892" s="49" t="s">
        <v>12</v>
      </c>
      <c r="I1892" s="50" t="e">
        <f>#REF!+#REF!</f>
        <v>#REF!</v>
      </c>
      <c r="J1892" s="50">
        <f t="shared" si="528"/>
        <v>160750</v>
      </c>
      <c r="K1892" s="50">
        <f t="shared" si="528"/>
        <v>160750</v>
      </c>
      <c r="L1892" s="50">
        <f t="shared" si="528"/>
        <v>160747</v>
      </c>
      <c r="M1892" s="50">
        <f t="shared" si="528"/>
        <v>157006.56</v>
      </c>
      <c r="N1892" s="50" t="e">
        <f>#REF!+#REF!</f>
        <v>#REF!</v>
      </c>
      <c r="O1892" s="50">
        <f t="shared" si="529"/>
        <v>0</v>
      </c>
      <c r="P1892" s="50">
        <f t="shared" si="529"/>
        <v>0</v>
      </c>
      <c r="Q1892" s="50">
        <f t="shared" si="529"/>
        <v>0</v>
      </c>
      <c r="R1892" s="50">
        <f t="shared" si="529"/>
        <v>0</v>
      </c>
      <c r="T1892" s="50" t="e">
        <f t="shared" si="521"/>
        <v>#REF!</v>
      </c>
    </row>
    <row r="1893" spans="2:20" hidden="1" x14ac:dyDescent="0.25">
      <c r="B1893" s="97">
        <f t="shared" si="522"/>
        <v>30</v>
      </c>
      <c r="C1893" s="51"/>
      <c r="D1893" s="51"/>
      <c r="E1893" s="51" t="s">
        <v>60</v>
      </c>
      <c r="F1893" s="51"/>
      <c r="G1893" s="124"/>
      <c r="H1893" s="51"/>
      <c r="I1893" s="52" t="e">
        <f>#REF!+#REF!</f>
        <v>#REF!</v>
      </c>
      <c r="J1893" s="52">
        <f>J1897+J1894</f>
        <v>160750</v>
      </c>
      <c r="K1893" s="52">
        <f>K1897+K1894</f>
        <v>160750</v>
      </c>
      <c r="L1893" s="52">
        <f>L1897+L1894</f>
        <v>160747</v>
      </c>
      <c r="M1893" s="52">
        <f>M1897+M1894</f>
        <v>157006.56</v>
      </c>
      <c r="N1893" s="52" t="e">
        <f>#REF!+#REF!</f>
        <v>#REF!</v>
      </c>
      <c r="O1893" s="52">
        <f>O1897+O1894</f>
        <v>0</v>
      </c>
      <c r="P1893" s="52">
        <f>P1897+P1894</f>
        <v>0</v>
      </c>
      <c r="Q1893" s="52">
        <f>Q1897+Q1894</f>
        <v>0</v>
      </c>
      <c r="R1893" s="52">
        <f>R1897+R1894</f>
        <v>0</v>
      </c>
      <c r="T1893" s="52" t="e">
        <f t="shared" si="521"/>
        <v>#REF!</v>
      </c>
    </row>
    <row r="1894" spans="2:20" x14ac:dyDescent="0.25">
      <c r="B1894" s="97">
        <f t="shared" si="522"/>
        <v>31</v>
      </c>
      <c r="C1894" s="29"/>
      <c r="D1894" s="29"/>
      <c r="E1894" s="29"/>
      <c r="F1894" s="53" t="s">
        <v>574</v>
      </c>
      <c r="G1894" s="125">
        <v>630</v>
      </c>
      <c r="H1894" s="29" t="s">
        <v>303</v>
      </c>
      <c r="I1894" s="15">
        <f>I1895+I1896</f>
        <v>160750</v>
      </c>
      <c r="J1894" s="15">
        <f>J1896+J1895</f>
        <v>160750</v>
      </c>
      <c r="K1894" s="15">
        <f>K1896+K1895</f>
        <v>160750</v>
      </c>
      <c r="L1894" s="15">
        <f>L1896+L1895</f>
        <v>160747</v>
      </c>
      <c r="M1894" s="15">
        <f>M1896+M1895</f>
        <v>2006.56</v>
      </c>
      <c r="N1894" s="15"/>
      <c r="O1894" s="15"/>
      <c r="P1894" s="15"/>
      <c r="Q1894" s="15"/>
      <c r="R1894" s="15"/>
      <c r="T1894" s="15">
        <f t="shared" si="521"/>
        <v>160750</v>
      </c>
    </row>
    <row r="1895" spans="2:20" x14ac:dyDescent="0.25">
      <c r="B1895" s="97">
        <f t="shared" si="522"/>
        <v>32</v>
      </c>
      <c r="C1895" s="9"/>
      <c r="D1895" s="9"/>
      <c r="E1895" s="9"/>
      <c r="F1895" s="54" t="s">
        <v>574</v>
      </c>
      <c r="G1895" s="126">
        <v>636</v>
      </c>
      <c r="H1895" s="9" t="s">
        <v>307</v>
      </c>
      <c r="I1895" s="10">
        <v>159950</v>
      </c>
      <c r="J1895" s="10">
        <v>159950</v>
      </c>
      <c r="K1895" s="10">
        <v>159950</v>
      </c>
      <c r="L1895" s="10">
        <v>159950</v>
      </c>
      <c r="M1895" s="10">
        <v>0</v>
      </c>
      <c r="N1895" s="10"/>
      <c r="O1895" s="10"/>
      <c r="P1895" s="10"/>
      <c r="Q1895" s="10"/>
      <c r="R1895" s="10"/>
      <c r="T1895" s="10">
        <f t="shared" si="521"/>
        <v>159950</v>
      </c>
    </row>
    <row r="1896" spans="2:20" x14ac:dyDescent="0.25">
      <c r="B1896" s="97">
        <f t="shared" si="522"/>
        <v>33</v>
      </c>
      <c r="C1896" s="9"/>
      <c r="D1896" s="9"/>
      <c r="E1896" s="9"/>
      <c r="F1896" s="54" t="s">
        <v>574</v>
      </c>
      <c r="G1896" s="126">
        <v>637</v>
      </c>
      <c r="H1896" s="9" t="s">
        <v>308</v>
      </c>
      <c r="I1896" s="10">
        <v>800</v>
      </c>
      <c r="J1896" s="10">
        <v>800</v>
      </c>
      <c r="K1896" s="10">
        <v>800</v>
      </c>
      <c r="L1896" s="10">
        <v>797</v>
      </c>
      <c r="M1896" s="10">
        <v>2006.56</v>
      </c>
      <c r="N1896" s="10"/>
      <c r="O1896" s="10"/>
      <c r="P1896" s="10"/>
      <c r="Q1896" s="10"/>
      <c r="R1896" s="10"/>
      <c r="T1896" s="10">
        <f t="shared" si="521"/>
        <v>800</v>
      </c>
    </row>
    <row r="1897" spans="2:20" x14ac:dyDescent="0.25">
      <c r="B1897" s="97">
        <f t="shared" si="522"/>
        <v>34</v>
      </c>
      <c r="C1897" s="29"/>
      <c r="D1897" s="29"/>
      <c r="E1897" s="29"/>
      <c r="F1897" s="53" t="s">
        <v>574</v>
      </c>
      <c r="G1897" s="125">
        <v>640</v>
      </c>
      <c r="H1897" s="29" t="s">
        <v>315</v>
      </c>
      <c r="I1897" s="15">
        <f>I1898</f>
        <v>0</v>
      </c>
      <c r="J1897" s="15">
        <f t="shared" ref="J1897:M1897" si="530">J1898</f>
        <v>0</v>
      </c>
      <c r="K1897" s="15">
        <f t="shared" si="530"/>
        <v>0</v>
      </c>
      <c r="L1897" s="15">
        <f t="shared" si="530"/>
        <v>0</v>
      </c>
      <c r="M1897" s="15">
        <f t="shared" si="530"/>
        <v>155000</v>
      </c>
      <c r="N1897" s="15"/>
      <c r="O1897" s="15"/>
      <c r="P1897" s="15"/>
      <c r="Q1897" s="15"/>
      <c r="R1897" s="15"/>
      <c r="T1897" s="15">
        <f t="shared" si="521"/>
        <v>0</v>
      </c>
    </row>
    <row r="1898" spans="2:20" x14ac:dyDescent="0.25">
      <c r="B1898" s="97">
        <f t="shared" si="522"/>
        <v>35</v>
      </c>
      <c r="C1898" s="9"/>
      <c r="D1898" s="9"/>
      <c r="E1898" s="9"/>
      <c r="F1898" s="54" t="s">
        <v>574</v>
      </c>
      <c r="G1898" s="126">
        <v>642</v>
      </c>
      <c r="H1898" s="9" t="s">
        <v>316</v>
      </c>
      <c r="I1898" s="10">
        <v>0</v>
      </c>
      <c r="J1898" s="10">
        <v>0</v>
      </c>
      <c r="K1898" s="10">
        <v>0</v>
      </c>
      <c r="L1898" s="10">
        <v>0</v>
      </c>
      <c r="M1898" s="10">
        <v>155000</v>
      </c>
      <c r="N1898" s="10"/>
      <c r="O1898" s="10"/>
      <c r="P1898" s="10"/>
      <c r="Q1898" s="10"/>
      <c r="R1898" s="10"/>
      <c r="T1898" s="10">
        <f t="shared" si="521"/>
        <v>0</v>
      </c>
    </row>
    <row r="1899" spans="2:20" x14ac:dyDescent="0.25">
      <c r="B1899" s="97">
        <f t="shared" si="522"/>
        <v>36</v>
      </c>
      <c r="C1899" s="47"/>
      <c r="D1899" s="47">
        <v>2</v>
      </c>
      <c r="E1899" s="296" t="s">
        <v>580</v>
      </c>
      <c r="F1899" s="294"/>
      <c r="G1899" s="294"/>
      <c r="H1899" s="295"/>
      <c r="I1899" s="48">
        <f>I1901+I1905+I1906</f>
        <v>204580</v>
      </c>
      <c r="J1899" s="48">
        <f t="shared" ref="J1899:M1899" si="531">J1901+J1905+J1906</f>
        <v>204280</v>
      </c>
      <c r="K1899" s="48">
        <f t="shared" si="531"/>
        <v>205780</v>
      </c>
      <c r="L1899" s="48">
        <f t="shared" si="531"/>
        <v>163933</v>
      </c>
      <c r="M1899" s="48">
        <f t="shared" si="531"/>
        <v>165999.44</v>
      </c>
      <c r="N1899" s="48">
        <f>N1909</f>
        <v>2700</v>
      </c>
      <c r="O1899" s="48">
        <f t="shared" ref="O1899:R1899" si="532">O1909</f>
        <v>19000</v>
      </c>
      <c r="P1899" s="48">
        <f t="shared" si="532"/>
        <v>33000</v>
      </c>
      <c r="Q1899" s="48">
        <f t="shared" si="532"/>
        <v>5400</v>
      </c>
      <c r="R1899" s="48">
        <f t="shared" si="532"/>
        <v>84115</v>
      </c>
      <c r="T1899" s="48">
        <f t="shared" si="521"/>
        <v>207280</v>
      </c>
    </row>
    <row r="1900" spans="2:20" hidden="1" x14ac:dyDescent="0.25">
      <c r="B1900" s="97">
        <f t="shared" si="522"/>
        <v>37</v>
      </c>
      <c r="C1900" s="49"/>
      <c r="D1900" s="49"/>
      <c r="E1900" s="49"/>
      <c r="F1900" s="49"/>
      <c r="G1900" s="123"/>
      <c r="H1900" s="49" t="s">
        <v>12</v>
      </c>
      <c r="I1900" s="50" t="e">
        <f>#REF!+#REF!</f>
        <v>#REF!</v>
      </c>
      <c r="J1900" s="50" t="e">
        <f>#REF!</f>
        <v>#REF!</v>
      </c>
      <c r="K1900" s="50" t="e">
        <f>#REF!</f>
        <v>#REF!</v>
      </c>
      <c r="L1900" s="50" t="e">
        <f>#REF!</f>
        <v>#REF!</v>
      </c>
      <c r="M1900" s="50" t="e">
        <f>#REF!</f>
        <v>#REF!</v>
      </c>
      <c r="N1900" s="50" t="e">
        <f>#REF!+#REF!</f>
        <v>#REF!</v>
      </c>
      <c r="O1900" s="50" t="e">
        <f>#REF!</f>
        <v>#REF!</v>
      </c>
      <c r="P1900" s="50" t="e">
        <f>#REF!</f>
        <v>#REF!</v>
      </c>
      <c r="Q1900" s="50" t="e">
        <f>#REF!</f>
        <v>#REF!</v>
      </c>
      <c r="R1900" s="50" t="e">
        <f>#REF!</f>
        <v>#REF!</v>
      </c>
      <c r="T1900" s="50" t="e">
        <f t="shared" si="521"/>
        <v>#REF!</v>
      </c>
    </row>
    <row r="1901" spans="2:20" x14ac:dyDescent="0.25">
      <c r="B1901" s="97">
        <f t="shared" si="522"/>
        <v>38</v>
      </c>
      <c r="C1901" s="29"/>
      <c r="D1901" s="29"/>
      <c r="E1901" s="29"/>
      <c r="F1901" s="53" t="s">
        <v>574</v>
      </c>
      <c r="G1901" s="125">
        <v>630</v>
      </c>
      <c r="H1901" s="29" t="s">
        <v>303</v>
      </c>
      <c r="I1901" s="15">
        <f>I1902+I1903+I1904</f>
        <v>204580</v>
      </c>
      <c r="J1901" s="15">
        <f t="shared" ref="J1901:M1901" si="533">J1902+J1903+J1904</f>
        <v>44280</v>
      </c>
      <c r="K1901" s="15">
        <f t="shared" si="533"/>
        <v>204280</v>
      </c>
      <c r="L1901" s="15">
        <f t="shared" si="533"/>
        <v>3058</v>
      </c>
      <c r="M1901" s="15">
        <f t="shared" si="533"/>
        <v>1499.44</v>
      </c>
      <c r="N1901" s="15"/>
      <c r="O1901" s="15"/>
      <c r="P1901" s="15"/>
      <c r="Q1901" s="15"/>
      <c r="R1901" s="15"/>
      <c r="T1901" s="15">
        <f t="shared" si="521"/>
        <v>204580</v>
      </c>
    </row>
    <row r="1902" spans="2:20" x14ac:dyDescent="0.25">
      <c r="B1902" s="97">
        <f t="shared" si="522"/>
        <v>39</v>
      </c>
      <c r="C1902" s="9"/>
      <c r="D1902" s="9"/>
      <c r="E1902" s="9"/>
      <c r="F1902" s="54" t="s">
        <v>574</v>
      </c>
      <c r="G1902" s="126">
        <v>632</v>
      </c>
      <c r="H1902" s="9" t="s">
        <v>314</v>
      </c>
      <c r="I1902" s="10">
        <v>3500</v>
      </c>
      <c r="J1902" s="10">
        <v>3200</v>
      </c>
      <c r="K1902" s="10">
        <v>3200</v>
      </c>
      <c r="L1902" s="10">
        <v>2052</v>
      </c>
      <c r="M1902" s="10">
        <v>0</v>
      </c>
      <c r="N1902" s="10"/>
      <c r="O1902" s="10"/>
      <c r="P1902" s="10"/>
      <c r="Q1902" s="10"/>
      <c r="R1902" s="10"/>
      <c r="T1902" s="10">
        <f t="shared" si="521"/>
        <v>3500</v>
      </c>
    </row>
    <row r="1903" spans="2:20" x14ac:dyDescent="0.25">
      <c r="B1903" s="97">
        <f t="shared" si="522"/>
        <v>40</v>
      </c>
      <c r="C1903" s="9"/>
      <c r="D1903" s="9"/>
      <c r="E1903" s="9"/>
      <c r="F1903" s="54" t="s">
        <v>574</v>
      </c>
      <c r="G1903" s="126">
        <v>636</v>
      </c>
      <c r="H1903" s="9" t="s">
        <v>307</v>
      </c>
      <c r="I1903" s="10">
        <v>200000</v>
      </c>
      <c r="J1903" s="10">
        <v>40000</v>
      </c>
      <c r="K1903" s="10">
        <v>200000</v>
      </c>
      <c r="L1903" s="10"/>
      <c r="M1903" s="10">
        <v>0</v>
      </c>
      <c r="N1903" s="10"/>
      <c r="O1903" s="10"/>
      <c r="P1903" s="10"/>
      <c r="Q1903" s="10"/>
      <c r="R1903" s="10"/>
      <c r="T1903" s="10">
        <f t="shared" si="521"/>
        <v>200000</v>
      </c>
    </row>
    <row r="1904" spans="2:20" x14ac:dyDescent="0.25">
      <c r="B1904" s="97">
        <f t="shared" si="522"/>
        <v>41</v>
      </c>
      <c r="C1904" s="9"/>
      <c r="D1904" s="9"/>
      <c r="E1904" s="9"/>
      <c r="F1904" s="54" t="s">
        <v>574</v>
      </c>
      <c r="G1904" s="126">
        <v>637</v>
      </c>
      <c r="H1904" s="9" t="s">
        <v>308</v>
      </c>
      <c r="I1904" s="10">
        <v>1080</v>
      </c>
      <c r="J1904" s="10">
        <v>1080</v>
      </c>
      <c r="K1904" s="10">
        <v>1080</v>
      </c>
      <c r="L1904" s="10">
        <v>1006</v>
      </c>
      <c r="M1904" s="10">
        <v>1499.44</v>
      </c>
      <c r="N1904" s="10"/>
      <c r="O1904" s="10"/>
      <c r="P1904" s="10"/>
      <c r="Q1904" s="10"/>
      <c r="R1904" s="10"/>
      <c r="T1904" s="10">
        <f t="shared" si="521"/>
        <v>1080</v>
      </c>
    </row>
    <row r="1905" spans="2:20" x14ac:dyDescent="0.25">
      <c r="B1905" s="97">
        <f t="shared" si="522"/>
        <v>42</v>
      </c>
      <c r="C1905" s="9"/>
      <c r="D1905" s="9"/>
      <c r="E1905" s="9"/>
      <c r="F1905" s="53" t="s">
        <v>574</v>
      </c>
      <c r="G1905" s="125">
        <v>630</v>
      </c>
      <c r="H1905" s="29" t="s">
        <v>581</v>
      </c>
      <c r="I1905" s="10">
        <v>0</v>
      </c>
      <c r="J1905" s="10"/>
      <c r="K1905" s="8">
        <v>1500</v>
      </c>
      <c r="L1905" s="10"/>
      <c r="M1905" s="10"/>
      <c r="N1905" s="10"/>
      <c r="O1905" s="10"/>
      <c r="P1905" s="10"/>
      <c r="Q1905" s="10"/>
      <c r="R1905" s="10"/>
      <c r="T1905" s="10">
        <f t="shared" si="521"/>
        <v>0</v>
      </c>
    </row>
    <row r="1906" spans="2:20" x14ac:dyDescent="0.25">
      <c r="B1906" s="97">
        <f t="shared" si="522"/>
        <v>43</v>
      </c>
      <c r="C1906" s="29"/>
      <c r="D1906" s="29"/>
      <c r="E1906" s="29"/>
      <c r="F1906" s="53" t="s">
        <v>574</v>
      </c>
      <c r="G1906" s="125">
        <v>640</v>
      </c>
      <c r="H1906" s="29" t="s">
        <v>315</v>
      </c>
      <c r="I1906" s="15">
        <f>I1907+I1908</f>
        <v>0</v>
      </c>
      <c r="J1906" s="15">
        <f>J1908+J1907</f>
        <v>160000</v>
      </c>
      <c r="K1906" s="15">
        <f>K1908+K1907</f>
        <v>0</v>
      </c>
      <c r="L1906" s="15">
        <f>L1908+L1907</f>
        <v>160875</v>
      </c>
      <c r="M1906" s="15">
        <f>M1908+M1907</f>
        <v>164500</v>
      </c>
      <c r="N1906" s="15"/>
      <c r="O1906" s="15"/>
      <c r="P1906" s="15"/>
      <c r="Q1906" s="15"/>
      <c r="R1906" s="15"/>
      <c r="T1906" s="15">
        <f t="shared" si="521"/>
        <v>0</v>
      </c>
    </row>
    <row r="1907" spans="2:20" x14ac:dyDescent="0.25">
      <c r="B1907" s="97">
        <f t="shared" si="522"/>
        <v>44</v>
      </c>
      <c r="C1907" s="9"/>
      <c r="D1907" s="9"/>
      <c r="E1907" s="9"/>
      <c r="F1907" s="54" t="s">
        <v>574</v>
      </c>
      <c r="G1907" s="126">
        <v>642</v>
      </c>
      <c r="H1907" s="9" t="s">
        <v>316</v>
      </c>
      <c r="I1907" s="10">
        <v>0</v>
      </c>
      <c r="J1907" s="10">
        <v>0</v>
      </c>
      <c r="K1907" s="10">
        <v>0</v>
      </c>
      <c r="L1907" s="10">
        <v>875</v>
      </c>
      <c r="M1907" s="10">
        <v>4500</v>
      </c>
      <c r="N1907" s="10"/>
      <c r="O1907" s="10"/>
      <c r="P1907" s="10"/>
      <c r="Q1907" s="10"/>
      <c r="R1907" s="10"/>
      <c r="T1907" s="10">
        <f t="shared" si="521"/>
        <v>0</v>
      </c>
    </row>
    <row r="1908" spans="2:20" x14ac:dyDescent="0.25">
      <c r="B1908" s="97">
        <f t="shared" si="522"/>
        <v>45</v>
      </c>
      <c r="C1908" s="9"/>
      <c r="D1908" s="9"/>
      <c r="E1908" s="9"/>
      <c r="F1908" s="54" t="s">
        <v>574</v>
      </c>
      <c r="G1908" s="126">
        <v>644</v>
      </c>
      <c r="H1908" s="9" t="s">
        <v>508</v>
      </c>
      <c r="I1908" s="10">
        <v>0</v>
      </c>
      <c r="J1908" s="10">
        <v>160000</v>
      </c>
      <c r="K1908" s="10">
        <v>0</v>
      </c>
      <c r="L1908" s="10">
        <v>160000</v>
      </c>
      <c r="M1908" s="10">
        <v>160000</v>
      </c>
      <c r="N1908" s="10"/>
      <c r="O1908" s="10"/>
      <c r="P1908" s="10"/>
      <c r="Q1908" s="10"/>
      <c r="R1908" s="10"/>
      <c r="T1908" s="10">
        <f t="shared" si="521"/>
        <v>0</v>
      </c>
    </row>
    <row r="1909" spans="2:20" x14ac:dyDescent="0.25">
      <c r="B1909" s="97">
        <f t="shared" si="522"/>
        <v>46</v>
      </c>
      <c r="C1909" s="29"/>
      <c r="D1909" s="29"/>
      <c r="E1909" s="29"/>
      <c r="F1909" s="53" t="s">
        <v>574</v>
      </c>
      <c r="G1909" s="125">
        <v>710</v>
      </c>
      <c r="H1909" s="29" t="s">
        <v>321</v>
      </c>
      <c r="I1909" s="15"/>
      <c r="J1909" s="15"/>
      <c r="K1909" s="15"/>
      <c r="L1909" s="15"/>
      <c r="M1909" s="15"/>
      <c r="N1909" s="15">
        <f>N1910+N1912</f>
        <v>2700</v>
      </c>
      <c r="O1909" s="15">
        <f t="shared" ref="O1909:R1909" si="534">O1912</f>
        <v>19000</v>
      </c>
      <c r="P1909" s="15">
        <f t="shared" si="534"/>
        <v>33000</v>
      </c>
      <c r="Q1909" s="15">
        <f t="shared" si="534"/>
        <v>5400</v>
      </c>
      <c r="R1909" s="15">
        <f t="shared" si="534"/>
        <v>84115</v>
      </c>
      <c r="T1909" s="15">
        <f t="shared" si="521"/>
        <v>2700</v>
      </c>
    </row>
    <row r="1910" spans="2:20" x14ac:dyDescent="0.25">
      <c r="B1910" s="97">
        <f t="shared" si="522"/>
        <v>47</v>
      </c>
      <c r="C1910" s="29"/>
      <c r="D1910" s="29"/>
      <c r="E1910" s="29"/>
      <c r="F1910" s="54" t="s">
        <v>574</v>
      </c>
      <c r="G1910" s="126">
        <v>716</v>
      </c>
      <c r="H1910" s="9" t="s">
        <v>323</v>
      </c>
      <c r="I1910" s="15"/>
      <c r="J1910" s="15"/>
      <c r="K1910" s="15"/>
      <c r="L1910" s="15"/>
      <c r="M1910" s="15"/>
      <c r="N1910" s="157">
        <f>N1911</f>
        <v>1200</v>
      </c>
      <c r="O1910" s="15"/>
      <c r="P1910" s="15"/>
      <c r="Q1910" s="15"/>
      <c r="R1910" s="15"/>
      <c r="T1910" s="15">
        <f t="shared" si="521"/>
        <v>1200</v>
      </c>
    </row>
    <row r="1911" spans="2:20" x14ac:dyDescent="0.25">
      <c r="B1911" s="97">
        <f t="shared" si="522"/>
        <v>48</v>
      </c>
      <c r="C1911" s="29"/>
      <c r="D1911" s="29"/>
      <c r="E1911" s="29"/>
      <c r="F1911" s="12"/>
      <c r="G1911" s="127"/>
      <c r="H1911" s="12" t="s">
        <v>871</v>
      </c>
      <c r="I1911" s="15"/>
      <c r="J1911" s="15"/>
      <c r="K1911" s="15"/>
      <c r="L1911" s="15"/>
      <c r="M1911" s="15"/>
      <c r="N1911" s="14">
        <v>1200</v>
      </c>
      <c r="O1911" s="15"/>
      <c r="P1911" s="15"/>
      <c r="Q1911" s="15"/>
      <c r="R1911" s="15"/>
      <c r="T1911" s="15">
        <f t="shared" si="521"/>
        <v>1200</v>
      </c>
    </row>
    <row r="1912" spans="2:20" x14ac:dyDescent="0.25">
      <c r="B1912" s="97">
        <f t="shared" si="522"/>
        <v>49</v>
      </c>
      <c r="C1912" s="9"/>
      <c r="D1912" s="9"/>
      <c r="E1912" s="9"/>
      <c r="F1912" s="54" t="s">
        <v>574</v>
      </c>
      <c r="G1912" s="126">
        <v>717</v>
      </c>
      <c r="H1912" s="9" t="s">
        <v>327</v>
      </c>
      <c r="I1912" s="10"/>
      <c r="J1912" s="10"/>
      <c r="K1912" s="10"/>
      <c r="L1912" s="10"/>
      <c r="M1912" s="10"/>
      <c r="N1912" s="10">
        <f>N1913</f>
        <v>1500</v>
      </c>
      <c r="O1912" s="10">
        <f t="shared" ref="O1912:R1912" si="535">SUM(O1913:O1916)</f>
        <v>19000</v>
      </c>
      <c r="P1912" s="10">
        <f t="shared" si="535"/>
        <v>33000</v>
      </c>
      <c r="Q1912" s="10">
        <f t="shared" si="535"/>
        <v>5400</v>
      </c>
      <c r="R1912" s="10">
        <f t="shared" si="535"/>
        <v>84115</v>
      </c>
      <c r="T1912" s="10">
        <f t="shared" si="521"/>
        <v>1500</v>
      </c>
    </row>
    <row r="1913" spans="2:20" x14ac:dyDescent="0.25">
      <c r="B1913" s="97">
        <f t="shared" si="522"/>
        <v>50</v>
      </c>
      <c r="C1913" s="12"/>
      <c r="D1913" s="12"/>
      <c r="E1913" s="12"/>
      <c r="F1913" s="12"/>
      <c r="G1913" s="127"/>
      <c r="H1913" s="91" t="s">
        <v>852</v>
      </c>
      <c r="I1913" s="13"/>
      <c r="J1913" s="13"/>
      <c r="K1913" s="13"/>
      <c r="L1913" s="13"/>
      <c r="M1913" s="13"/>
      <c r="N1913" s="13">
        <v>1500</v>
      </c>
      <c r="O1913" s="13">
        <v>11500</v>
      </c>
      <c r="P1913" s="13">
        <v>11500</v>
      </c>
      <c r="Q1913" s="13">
        <v>5400</v>
      </c>
      <c r="R1913" s="13"/>
      <c r="T1913" s="13">
        <f t="shared" si="521"/>
        <v>1500</v>
      </c>
    </row>
    <row r="1914" spans="2:20" x14ac:dyDescent="0.25">
      <c r="B1914" s="97">
        <f t="shared" si="522"/>
        <v>51</v>
      </c>
      <c r="C1914" s="12"/>
      <c r="D1914" s="12"/>
      <c r="E1914" s="12"/>
      <c r="F1914" s="12"/>
      <c r="G1914" s="127"/>
      <c r="H1914" s="12" t="s">
        <v>582</v>
      </c>
      <c r="I1914" s="13"/>
      <c r="J1914" s="13"/>
      <c r="K1914" s="13"/>
      <c r="L1914" s="13"/>
      <c r="M1914" s="13"/>
      <c r="N1914" s="13"/>
      <c r="O1914" s="13"/>
      <c r="P1914" s="13">
        <v>14000</v>
      </c>
      <c r="Q1914" s="13"/>
      <c r="R1914" s="13"/>
      <c r="T1914" s="13">
        <f t="shared" si="521"/>
        <v>0</v>
      </c>
    </row>
    <row r="1915" spans="2:20" x14ac:dyDescent="0.25">
      <c r="B1915" s="97">
        <f t="shared" si="522"/>
        <v>52</v>
      </c>
      <c r="C1915" s="12"/>
      <c r="D1915" s="12"/>
      <c r="E1915" s="12"/>
      <c r="F1915" s="12"/>
      <c r="G1915" s="127"/>
      <c r="H1915" s="12" t="s">
        <v>583</v>
      </c>
      <c r="I1915" s="13"/>
      <c r="J1915" s="13"/>
      <c r="K1915" s="13"/>
      <c r="L1915" s="13"/>
      <c r="M1915" s="13"/>
      <c r="N1915" s="13"/>
      <c r="O1915" s="13">
        <v>7500</v>
      </c>
      <c r="P1915" s="13">
        <v>7500</v>
      </c>
      <c r="Q1915" s="13"/>
      <c r="R1915" s="13"/>
      <c r="T1915" s="13">
        <f t="shared" si="521"/>
        <v>0</v>
      </c>
    </row>
    <row r="1916" spans="2:20" x14ac:dyDescent="0.25">
      <c r="B1916" s="97">
        <f t="shared" si="522"/>
        <v>53</v>
      </c>
      <c r="C1916" s="12"/>
      <c r="D1916" s="12"/>
      <c r="E1916" s="12"/>
      <c r="F1916" s="12"/>
      <c r="G1916" s="127"/>
      <c r="H1916" s="59" t="s">
        <v>584</v>
      </c>
      <c r="I1916" s="13"/>
      <c r="J1916" s="13"/>
      <c r="K1916" s="13"/>
      <c r="L1916" s="13"/>
      <c r="M1916" s="13"/>
      <c r="N1916" s="13"/>
      <c r="O1916" s="13"/>
      <c r="P1916" s="13"/>
      <c r="Q1916" s="13"/>
      <c r="R1916" s="13">
        <v>84115</v>
      </c>
      <c r="T1916" s="13">
        <f t="shared" si="521"/>
        <v>0</v>
      </c>
    </row>
    <row r="1917" spans="2:20" x14ac:dyDescent="0.25">
      <c r="B1917" s="97">
        <f t="shared" si="522"/>
        <v>54</v>
      </c>
      <c r="C1917" s="47"/>
      <c r="D1917" s="47">
        <v>3</v>
      </c>
      <c r="E1917" s="296" t="s">
        <v>88</v>
      </c>
      <c r="F1917" s="294"/>
      <c r="G1917" s="294"/>
      <c r="H1917" s="295"/>
      <c r="I1917" s="48">
        <f t="shared" ref="I1917:M1917" si="536">I1920+I1932</f>
        <v>428820</v>
      </c>
      <c r="J1917" s="48">
        <f t="shared" si="536"/>
        <v>395505</v>
      </c>
      <c r="K1917" s="48">
        <f t="shared" si="536"/>
        <v>403855</v>
      </c>
      <c r="L1917" s="48">
        <f t="shared" si="536"/>
        <v>432224.88</v>
      </c>
      <c r="M1917" s="48">
        <f t="shared" si="536"/>
        <v>393198.55</v>
      </c>
      <c r="N1917" s="48">
        <f t="shared" ref="N1917:R1917" si="537">N1922+N1932</f>
        <v>25000</v>
      </c>
      <c r="O1917" s="48">
        <f t="shared" si="537"/>
        <v>255000</v>
      </c>
      <c r="P1917" s="48">
        <f t="shared" si="537"/>
        <v>203000</v>
      </c>
      <c r="Q1917" s="48">
        <f t="shared" si="537"/>
        <v>29906</v>
      </c>
      <c r="R1917" s="48">
        <f t="shared" si="537"/>
        <v>80000</v>
      </c>
      <c r="T1917" s="48">
        <f t="shared" si="521"/>
        <v>453820</v>
      </c>
    </row>
    <row r="1918" spans="2:20" hidden="1" x14ac:dyDescent="0.25">
      <c r="B1918" s="97">
        <f t="shared" si="522"/>
        <v>55</v>
      </c>
      <c r="C1918" s="49"/>
      <c r="D1918" s="49"/>
      <c r="E1918" s="49"/>
      <c r="F1918" s="49"/>
      <c r="G1918" s="123"/>
      <c r="H1918" s="49" t="s">
        <v>12</v>
      </c>
      <c r="I1918" s="50" t="e">
        <f>#REF!+#REF!</f>
        <v>#REF!</v>
      </c>
      <c r="J1918" s="50" t="e">
        <f t="shared" ref="J1918:R1918" si="538">J1919</f>
        <v>#REF!</v>
      </c>
      <c r="K1918" s="50" t="e">
        <f t="shared" si="538"/>
        <v>#REF!</v>
      </c>
      <c r="L1918" s="50" t="e">
        <f t="shared" si="538"/>
        <v>#REF!</v>
      </c>
      <c r="M1918" s="50" t="e">
        <f t="shared" si="538"/>
        <v>#REF!</v>
      </c>
      <c r="N1918" s="50" t="e">
        <f>#REF!+#REF!</f>
        <v>#REF!</v>
      </c>
      <c r="O1918" s="50" t="e">
        <f t="shared" si="538"/>
        <v>#REF!</v>
      </c>
      <c r="P1918" s="50" t="e">
        <f t="shared" si="538"/>
        <v>#REF!</v>
      </c>
      <c r="Q1918" s="50" t="e">
        <f t="shared" si="538"/>
        <v>#REF!</v>
      </c>
      <c r="R1918" s="50" t="e">
        <f t="shared" si="538"/>
        <v>#REF!</v>
      </c>
      <c r="T1918" s="50" t="e">
        <f t="shared" si="521"/>
        <v>#REF!</v>
      </c>
    </row>
    <row r="1919" spans="2:20" hidden="1" x14ac:dyDescent="0.25">
      <c r="B1919" s="97">
        <f t="shared" si="522"/>
        <v>56</v>
      </c>
      <c r="C1919" s="51"/>
      <c r="D1919" s="51"/>
      <c r="E1919" s="51" t="s">
        <v>60</v>
      </c>
      <c r="F1919" s="51"/>
      <c r="G1919" s="124"/>
      <c r="H1919" s="51"/>
      <c r="I1919" s="52" t="e">
        <f>#REF!+#REF!</f>
        <v>#REF!</v>
      </c>
      <c r="J1919" s="52" t="e">
        <f>J1922+#REF!+J1920</f>
        <v>#REF!</v>
      </c>
      <c r="K1919" s="52" t="e">
        <f>K1922+#REF!+K1920</f>
        <v>#REF!</v>
      </c>
      <c r="L1919" s="52" t="e">
        <f>L1922+#REF!+L1920</f>
        <v>#REF!</v>
      </c>
      <c r="M1919" s="52" t="e">
        <f>M1922+#REF!+M1920</f>
        <v>#REF!</v>
      </c>
      <c r="N1919" s="52" t="e">
        <f>#REF!+#REF!</f>
        <v>#REF!</v>
      </c>
      <c r="O1919" s="52" t="e">
        <f>O1922+#REF!+O1920</f>
        <v>#REF!</v>
      </c>
      <c r="P1919" s="52" t="e">
        <f>P1922+#REF!+P1920</f>
        <v>#REF!</v>
      </c>
      <c r="Q1919" s="52" t="e">
        <f>Q1922+#REF!+Q1920</f>
        <v>#REF!</v>
      </c>
      <c r="R1919" s="52" t="e">
        <f>R1922+#REF!+R1920</f>
        <v>#REF!</v>
      </c>
      <c r="T1919" s="52" t="e">
        <f t="shared" si="521"/>
        <v>#REF!</v>
      </c>
    </row>
    <row r="1920" spans="2:20" x14ac:dyDescent="0.25">
      <c r="B1920" s="97">
        <f t="shared" si="522"/>
        <v>57</v>
      </c>
      <c r="C1920" s="29"/>
      <c r="D1920" s="29"/>
      <c r="E1920" s="29"/>
      <c r="F1920" s="53" t="s">
        <v>574</v>
      </c>
      <c r="G1920" s="125">
        <v>630</v>
      </c>
      <c r="H1920" s="29" t="s">
        <v>303</v>
      </c>
      <c r="I1920" s="15">
        <f>I1921</f>
        <v>2670</v>
      </c>
      <c r="J1920" s="15">
        <f t="shared" ref="J1920:M1920" si="539">J1921</f>
        <v>2670</v>
      </c>
      <c r="K1920" s="15">
        <f t="shared" si="539"/>
        <v>2670</v>
      </c>
      <c r="L1920" s="15">
        <f t="shared" si="539"/>
        <v>2631.88</v>
      </c>
      <c r="M1920" s="15">
        <f t="shared" si="539"/>
        <v>4318.55</v>
      </c>
      <c r="N1920" s="15"/>
      <c r="O1920" s="15"/>
      <c r="P1920" s="15"/>
      <c r="Q1920" s="15"/>
      <c r="R1920" s="15"/>
      <c r="T1920" s="15">
        <f t="shared" si="521"/>
        <v>2670</v>
      </c>
    </row>
    <row r="1921" spans="2:20" x14ac:dyDescent="0.25">
      <c r="B1921" s="97">
        <f t="shared" si="522"/>
        <v>58</v>
      </c>
      <c r="C1921" s="9"/>
      <c r="D1921" s="9"/>
      <c r="E1921" s="9"/>
      <c r="F1921" s="54" t="s">
        <v>574</v>
      </c>
      <c r="G1921" s="126">
        <v>637</v>
      </c>
      <c r="H1921" s="9" t="s">
        <v>308</v>
      </c>
      <c r="I1921" s="10">
        <v>2670</v>
      </c>
      <c r="J1921" s="10">
        <v>2670</v>
      </c>
      <c r="K1921" s="10">
        <v>2670</v>
      </c>
      <c r="L1921" s="10">
        <v>2631.88</v>
      </c>
      <c r="M1921" s="10">
        <v>4318.55</v>
      </c>
      <c r="N1921" s="10"/>
      <c r="O1921" s="10"/>
      <c r="P1921" s="10"/>
      <c r="Q1921" s="10"/>
      <c r="R1921" s="10"/>
      <c r="T1921" s="10">
        <f t="shared" si="521"/>
        <v>2670</v>
      </c>
    </row>
    <row r="1922" spans="2:20" x14ac:dyDescent="0.25">
      <c r="B1922" s="97">
        <f t="shared" si="522"/>
        <v>59</v>
      </c>
      <c r="C1922" s="29"/>
      <c r="D1922" s="29"/>
      <c r="E1922" s="29"/>
      <c r="F1922" s="53" t="s">
        <v>574</v>
      </c>
      <c r="G1922" s="125">
        <v>710</v>
      </c>
      <c r="H1922" s="29" t="s">
        <v>321</v>
      </c>
      <c r="I1922" s="15"/>
      <c r="J1922" s="15"/>
      <c r="K1922" s="15"/>
      <c r="L1922" s="15"/>
      <c r="M1922" s="15"/>
      <c r="N1922" s="15">
        <f>N1923+N1927+N1931</f>
        <v>25000</v>
      </c>
      <c r="O1922" s="15">
        <f>O1923+O1927+O1931</f>
        <v>255000</v>
      </c>
      <c r="P1922" s="15">
        <f>P1923+P1927+P1931+P1926</f>
        <v>203000</v>
      </c>
      <c r="Q1922" s="15">
        <f t="shared" ref="Q1922:R1922" si="540">Q1923+Q1927+Q1931</f>
        <v>29906</v>
      </c>
      <c r="R1922" s="15">
        <f t="shared" si="540"/>
        <v>80000</v>
      </c>
      <c r="T1922" s="15">
        <f t="shared" si="521"/>
        <v>25000</v>
      </c>
    </row>
    <row r="1923" spans="2:20" x14ac:dyDescent="0.25">
      <c r="B1923" s="97">
        <f t="shared" si="522"/>
        <v>60</v>
      </c>
      <c r="C1923" s="9"/>
      <c r="D1923" s="9"/>
      <c r="E1923" s="9"/>
      <c r="F1923" s="54" t="s">
        <v>574</v>
      </c>
      <c r="G1923" s="126">
        <v>716</v>
      </c>
      <c r="H1923" s="9" t="s">
        <v>323</v>
      </c>
      <c r="I1923" s="10"/>
      <c r="J1923" s="10"/>
      <c r="K1923" s="10"/>
      <c r="L1923" s="10"/>
      <c r="M1923" s="10"/>
      <c r="N1923" s="10">
        <f>SUM(N1924:N1926)</f>
        <v>10000</v>
      </c>
      <c r="O1923" s="10">
        <f t="shared" ref="O1923:P1923" si="541">O1925+O1924</f>
        <v>2000</v>
      </c>
      <c r="P1923" s="10">
        <f t="shared" si="541"/>
        <v>3800</v>
      </c>
      <c r="Q1923" s="10"/>
      <c r="R1923" s="10"/>
      <c r="T1923" s="10">
        <f t="shared" si="521"/>
        <v>10000</v>
      </c>
    </row>
    <row r="1924" spans="2:20" x14ac:dyDescent="0.25">
      <c r="B1924" s="97">
        <f t="shared" si="522"/>
        <v>61</v>
      </c>
      <c r="C1924" s="12"/>
      <c r="D1924" s="12"/>
      <c r="E1924" s="12"/>
      <c r="F1924" s="12"/>
      <c r="G1924" s="127"/>
      <c r="H1924" s="12" t="s">
        <v>585</v>
      </c>
      <c r="I1924" s="13"/>
      <c r="J1924" s="13"/>
      <c r="K1924" s="13"/>
      <c r="L1924" s="13"/>
      <c r="M1924" s="13"/>
      <c r="N1924" s="13"/>
      <c r="O1924" s="13">
        <v>2000</v>
      </c>
      <c r="P1924" s="13">
        <v>2000</v>
      </c>
      <c r="Q1924" s="13"/>
      <c r="R1924" s="13"/>
      <c r="T1924" s="13">
        <f t="shared" si="521"/>
        <v>0</v>
      </c>
    </row>
    <row r="1925" spans="2:20" x14ac:dyDescent="0.25">
      <c r="B1925" s="97">
        <f t="shared" si="522"/>
        <v>62</v>
      </c>
      <c r="C1925" s="12"/>
      <c r="D1925" s="12"/>
      <c r="E1925" s="12"/>
      <c r="F1925" s="12"/>
      <c r="G1925" s="127"/>
      <c r="H1925" s="12" t="s">
        <v>586</v>
      </c>
      <c r="I1925" s="13"/>
      <c r="J1925" s="13"/>
      <c r="K1925" s="13"/>
      <c r="L1925" s="13"/>
      <c r="M1925" s="13"/>
      <c r="N1925" s="13"/>
      <c r="O1925" s="13"/>
      <c r="P1925" s="13">
        <v>1800</v>
      </c>
      <c r="Q1925" s="13"/>
      <c r="R1925" s="13"/>
      <c r="T1925" s="13">
        <f t="shared" si="521"/>
        <v>0</v>
      </c>
    </row>
    <row r="1926" spans="2:20" x14ac:dyDescent="0.25">
      <c r="B1926" s="97">
        <f t="shared" si="522"/>
        <v>63</v>
      </c>
      <c r="C1926" s="12"/>
      <c r="D1926" s="12"/>
      <c r="E1926" s="12"/>
      <c r="F1926" s="12"/>
      <c r="G1926" s="127"/>
      <c r="H1926" s="91" t="s">
        <v>850</v>
      </c>
      <c r="I1926" s="13"/>
      <c r="J1926" s="13"/>
      <c r="K1926" s="13"/>
      <c r="L1926" s="13"/>
      <c r="M1926" s="13"/>
      <c r="N1926" s="13">
        <v>10000</v>
      </c>
      <c r="O1926" s="13"/>
      <c r="P1926" s="13">
        <v>10000</v>
      </c>
      <c r="Q1926" s="13"/>
      <c r="R1926" s="13"/>
      <c r="T1926" s="13">
        <f t="shared" ref="T1926:T1989" si="542">I1926+N1926</f>
        <v>10000</v>
      </c>
    </row>
    <row r="1927" spans="2:20" x14ac:dyDescent="0.25">
      <c r="B1927" s="97">
        <f t="shared" si="522"/>
        <v>64</v>
      </c>
      <c r="C1927" s="9"/>
      <c r="D1927" s="9"/>
      <c r="E1927" s="9"/>
      <c r="F1927" s="54" t="s">
        <v>574</v>
      </c>
      <c r="G1927" s="126">
        <v>717</v>
      </c>
      <c r="H1927" s="9" t="s">
        <v>327</v>
      </c>
      <c r="I1927" s="10"/>
      <c r="J1927" s="10"/>
      <c r="K1927" s="10"/>
      <c r="L1927" s="10"/>
      <c r="M1927" s="10"/>
      <c r="N1927" s="10">
        <f>SUM(N1928:N1930)</f>
        <v>15000</v>
      </c>
      <c r="O1927" s="10">
        <f t="shared" ref="O1927:Q1927" si="543">O1929+O1928</f>
        <v>253000</v>
      </c>
      <c r="P1927" s="10">
        <f t="shared" si="543"/>
        <v>189200</v>
      </c>
      <c r="Q1927" s="10">
        <f t="shared" si="543"/>
        <v>29906</v>
      </c>
      <c r="R1927" s="10"/>
      <c r="T1927" s="10">
        <f t="shared" si="542"/>
        <v>15000</v>
      </c>
    </row>
    <row r="1928" spans="2:20" x14ac:dyDescent="0.25">
      <c r="B1928" s="97">
        <f t="shared" si="522"/>
        <v>65</v>
      </c>
      <c r="C1928" s="12"/>
      <c r="D1928" s="12"/>
      <c r="E1928" s="12"/>
      <c r="F1928" s="12"/>
      <c r="G1928" s="127"/>
      <c r="H1928" s="12" t="s">
        <v>773</v>
      </c>
      <c r="I1928" s="13"/>
      <c r="J1928" s="13"/>
      <c r="K1928" s="13"/>
      <c r="L1928" s="13"/>
      <c r="M1928" s="13"/>
      <c r="N1928" s="13"/>
      <c r="O1928" s="13">
        <v>200000</v>
      </c>
      <c r="P1928" s="13">
        <v>147200</v>
      </c>
      <c r="Q1928" s="13">
        <v>29906</v>
      </c>
      <c r="R1928" s="13"/>
      <c r="T1928" s="13">
        <f t="shared" si="542"/>
        <v>0</v>
      </c>
    </row>
    <row r="1929" spans="2:20" x14ac:dyDescent="0.25">
      <c r="B1929" s="97">
        <f t="shared" si="522"/>
        <v>66</v>
      </c>
      <c r="C1929" s="12"/>
      <c r="D1929" s="12"/>
      <c r="E1929" s="12"/>
      <c r="F1929" s="12"/>
      <c r="G1929" s="127"/>
      <c r="H1929" s="12" t="s">
        <v>585</v>
      </c>
      <c r="I1929" s="13"/>
      <c r="J1929" s="13"/>
      <c r="K1929" s="13"/>
      <c r="L1929" s="13"/>
      <c r="M1929" s="13"/>
      <c r="N1929" s="13"/>
      <c r="O1929" s="13">
        <v>53000</v>
      </c>
      <c r="P1929" s="13">
        <v>42000</v>
      </c>
      <c r="Q1929" s="13"/>
      <c r="R1929" s="13"/>
      <c r="T1929" s="13">
        <f t="shared" si="542"/>
        <v>0</v>
      </c>
    </row>
    <row r="1930" spans="2:20" x14ac:dyDescent="0.25">
      <c r="B1930" s="97">
        <f t="shared" ref="B1930:B1933" si="544">B1929+1</f>
        <v>67</v>
      </c>
      <c r="C1930" s="12"/>
      <c r="D1930" s="12"/>
      <c r="E1930" s="12"/>
      <c r="F1930" s="12"/>
      <c r="G1930" s="127"/>
      <c r="H1930" s="12" t="s">
        <v>805</v>
      </c>
      <c r="I1930" s="13"/>
      <c r="J1930" s="13"/>
      <c r="K1930" s="13"/>
      <c r="L1930" s="13"/>
      <c r="M1930" s="13"/>
      <c r="N1930" s="13">
        <v>15000</v>
      </c>
      <c r="O1930" s="13"/>
      <c r="P1930" s="13"/>
      <c r="Q1930" s="13"/>
      <c r="R1930" s="13"/>
      <c r="T1930" s="13">
        <f t="shared" si="542"/>
        <v>15000</v>
      </c>
    </row>
    <row r="1931" spans="2:20" x14ac:dyDescent="0.25">
      <c r="B1931" s="97">
        <f t="shared" si="544"/>
        <v>68</v>
      </c>
      <c r="C1931" s="9"/>
      <c r="D1931" s="9"/>
      <c r="E1931" s="9"/>
      <c r="F1931" s="54" t="s">
        <v>574</v>
      </c>
      <c r="G1931" s="126">
        <v>719</v>
      </c>
      <c r="H1931" s="9" t="s">
        <v>361</v>
      </c>
      <c r="I1931" s="10"/>
      <c r="J1931" s="10"/>
      <c r="K1931" s="10"/>
      <c r="L1931" s="10"/>
      <c r="M1931" s="10"/>
      <c r="N1931" s="10"/>
      <c r="O1931" s="10"/>
      <c r="P1931" s="10"/>
      <c r="Q1931" s="10"/>
      <c r="R1931" s="10">
        <v>80000</v>
      </c>
      <c r="T1931" s="10">
        <f t="shared" si="542"/>
        <v>0</v>
      </c>
    </row>
    <row r="1932" spans="2:20" x14ac:dyDescent="0.25">
      <c r="B1932" s="97">
        <f t="shared" si="544"/>
        <v>69</v>
      </c>
      <c r="C1932" s="49"/>
      <c r="D1932" s="49"/>
      <c r="E1932" s="49">
        <v>2</v>
      </c>
      <c r="F1932" s="49"/>
      <c r="G1932" s="123"/>
      <c r="H1932" s="49" t="s">
        <v>59</v>
      </c>
      <c r="I1932" s="50">
        <f t="shared" ref="I1932:M1932" si="545">I1933+I1934+I1935+I1941</f>
        <v>426150</v>
      </c>
      <c r="J1932" s="50">
        <f t="shared" si="545"/>
        <v>392835</v>
      </c>
      <c r="K1932" s="50">
        <f t="shared" si="545"/>
        <v>401185</v>
      </c>
      <c r="L1932" s="50">
        <f t="shared" si="545"/>
        <v>429593</v>
      </c>
      <c r="M1932" s="50">
        <f t="shared" si="545"/>
        <v>388880</v>
      </c>
      <c r="N1932" s="50">
        <v>0</v>
      </c>
      <c r="O1932" s="50">
        <v>0</v>
      </c>
      <c r="P1932" s="50">
        <v>0</v>
      </c>
      <c r="Q1932" s="50">
        <v>0</v>
      </c>
      <c r="R1932" s="50">
        <v>0</v>
      </c>
      <c r="T1932" s="50">
        <f t="shared" si="542"/>
        <v>426150</v>
      </c>
    </row>
    <row r="1933" spans="2:20" x14ac:dyDescent="0.25">
      <c r="B1933" s="97">
        <f t="shared" si="544"/>
        <v>70</v>
      </c>
      <c r="C1933" s="29"/>
      <c r="D1933" s="29"/>
      <c r="E1933" s="29"/>
      <c r="F1933" s="53" t="s">
        <v>574</v>
      </c>
      <c r="G1933" s="125">
        <v>610</v>
      </c>
      <c r="H1933" s="29" t="s">
        <v>338</v>
      </c>
      <c r="I1933" s="15">
        <v>114000</v>
      </c>
      <c r="J1933" s="15">
        <v>96000</v>
      </c>
      <c r="K1933" s="15">
        <v>99400</v>
      </c>
      <c r="L1933" s="15">
        <v>94247</v>
      </c>
      <c r="M1933" s="15">
        <v>88840</v>
      </c>
      <c r="N1933" s="15"/>
      <c r="O1933" s="15"/>
      <c r="P1933" s="15"/>
      <c r="Q1933" s="15"/>
      <c r="R1933" s="15"/>
      <c r="T1933" s="15">
        <f t="shared" si="542"/>
        <v>114000</v>
      </c>
    </row>
    <row r="1934" spans="2:20" x14ac:dyDescent="0.25">
      <c r="B1934" s="97">
        <f t="shared" ref="B1934:B1941" si="546">B1933+1</f>
        <v>71</v>
      </c>
      <c r="C1934" s="29"/>
      <c r="D1934" s="29"/>
      <c r="E1934" s="29"/>
      <c r="F1934" s="53" t="s">
        <v>574</v>
      </c>
      <c r="G1934" s="125">
        <v>620</v>
      </c>
      <c r="H1934" s="29" t="s">
        <v>313</v>
      </c>
      <c r="I1934" s="15">
        <v>39900</v>
      </c>
      <c r="J1934" s="15">
        <v>34145</v>
      </c>
      <c r="K1934" s="15">
        <v>35445</v>
      </c>
      <c r="L1934" s="15">
        <v>32054</v>
      </c>
      <c r="M1934" s="15">
        <v>30250</v>
      </c>
      <c r="N1934" s="15"/>
      <c r="O1934" s="15"/>
      <c r="P1934" s="15"/>
      <c r="Q1934" s="15"/>
      <c r="R1934" s="15"/>
      <c r="T1934" s="15">
        <f t="shared" si="542"/>
        <v>39900</v>
      </c>
    </row>
    <row r="1935" spans="2:20" x14ac:dyDescent="0.25">
      <c r="B1935" s="97">
        <f t="shared" si="546"/>
        <v>72</v>
      </c>
      <c r="C1935" s="29"/>
      <c r="D1935" s="29"/>
      <c r="E1935" s="29"/>
      <c r="F1935" s="53" t="s">
        <v>574</v>
      </c>
      <c r="G1935" s="125">
        <v>630</v>
      </c>
      <c r="H1935" s="29" t="s">
        <v>303</v>
      </c>
      <c r="I1935" s="15">
        <f t="shared" ref="I1935:M1935" si="547">SUM(I1936:I1940)</f>
        <v>271900</v>
      </c>
      <c r="J1935" s="15">
        <f t="shared" si="547"/>
        <v>262590</v>
      </c>
      <c r="K1935" s="15">
        <f t="shared" si="547"/>
        <v>266090</v>
      </c>
      <c r="L1935" s="15">
        <f t="shared" si="547"/>
        <v>303174</v>
      </c>
      <c r="M1935" s="15">
        <f t="shared" si="547"/>
        <v>269693</v>
      </c>
      <c r="N1935" s="15"/>
      <c r="O1935" s="15"/>
      <c r="P1935" s="15"/>
      <c r="Q1935" s="15"/>
      <c r="R1935" s="15"/>
      <c r="T1935" s="15">
        <f t="shared" si="542"/>
        <v>271900</v>
      </c>
    </row>
    <row r="1936" spans="2:20" x14ac:dyDescent="0.25">
      <c r="B1936" s="97">
        <f t="shared" si="546"/>
        <v>73</v>
      </c>
      <c r="C1936" s="9"/>
      <c r="D1936" s="9"/>
      <c r="E1936" s="9"/>
      <c r="F1936" s="54" t="s">
        <v>574</v>
      </c>
      <c r="G1936" s="126">
        <v>632</v>
      </c>
      <c r="H1936" s="9" t="s">
        <v>314</v>
      </c>
      <c r="I1936" s="10">
        <v>210000</v>
      </c>
      <c r="J1936" s="10">
        <v>206470</v>
      </c>
      <c r="K1936" s="10">
        <v>186034</v>
      </c>
      <c r="L1936" s="10">
        <v>235027</v>
      </c>
      <c r="M1936" s="10">
        <v>206481</v>
      </c>
      <c r="N1936" s="10"/>
      <c r="O1936" s="10"/>
      <c r="P1936" s="10"/>
      <c r="Q1936" s="10"/>
      <c r="R1936" s="10"/>
      <c r="T1936" s="10">
        <f t="shared" si="542"/>
        <v>210000</v>
      </c>
    </row>
    <row r="1937" spans="2:20" x14ac:dyDescent="0.25">
      <c r="B1937" s="97">
        <f t="shared" si="546"/>
        <v>74</v>
      </c>
      <c r="C1937" s="9"/>
      <c r="D1937" s="9"/>
      <c r="E1937" s="9"/>
      <c r="F1937" s="54" t="s">
        <v>574</v>
      </c>
      <c r="G1937" s="126">
        <v>633</v>
      </c>
      <c r="H1937" s="9" t="s">
        <v>305</v>
      </c>
      <c r="I1937" s="10">
        <v>13700</v>
      </c>
      <c r="J1937" s="10">
        <v>12200</v>
      </c>
      <c r="K1937" s="10">
        <v>22000</v>
      </c>
      <c r="L1937" s="10">
        <v>15608</v>
      </c>
      <c r="M1937" s="10">
        <v>18515</v>
      </c>
      <c r="N1937" s="10"/>
      <c r="O1937" s="10"/>
      <c r="P1937" s="10"/>
      <c r="Q1937" s="10"/>
      <c r="R1937" s="10"/>
      <c r="T1937" s="10">
        <f t="shared" si="542"/>
        <v>13700</v>
      </c>
    </row>
    <row r="1938" spans="2:20" x14ac:dyDescent="0.25">
      <c r="B1938" s="97">
        <f t="shared" si="546"/>
        <v>75</v>
      </c>
      <c r="C1938" s="9"/>
      <c r="D1938" s="9"/>
      <c r="E1938" s="9"/>
      <c r="F1938" s="54" t="s">
        <v>574</v>
      </c>
      <c r="G1938" s="126">
        <v>635</v>
      </c>
      <c r="H1938" s="9" t="s">
        <v>320</v>
      </c>
      <c r="I1938" s="10">
        <v>10000</v>
      </c>
      <c r="J1938" s="10">
        <v>10000</v>
      </c>
      <c r="K1938" s="10">
        <v>13100</v>
      </c>
      <c r="L1938" s="10">
        <v>20131</v>
      </c>
      <c r="M1938" s="10">
        <v>14435</v>
      </c>
      <c r="N1938" s="10"/>
      <c r="O1938" s="10"/>
      <c r="P1938" s="10"/>
      <c r="Q1938" s="10"/>
      <c r="R1938" s="10"/>
      <c r="T1938" s="10">
        <f t="shared" si="542"/>
        <v>10000</v>
      </c>
    </row>
    <row r="1939" spans="2:20" x14ac:dyDescent="0.25">
      <c r="B1939" s="97">
        <f t="shared" si="546"/>
        <v>76</v>
      </c>
      <c r="C1939" s="9"/>
      <c r="D1939" s="9"/>
      <c r="E1939" s="9"/>
      <c r="F1939" s="54" t="s">
        <v>574</v>
      </c>
      <c r="G1939" s="126">
        <v>636</v>
      </c>
      <c r="H1939" s="9" t="s">
        <v>307</v>
      </c>
      <c r="I1939" s="10">
        <v>200</v>
      </c>
      <c r="J1939" s="10">
        <v>200</v>
      </c>
      <c r="K1939" s="10">
        <v>200</v>
      </c>
      <c r="L1939" s="10">
        <v>0</v>
      </c>
      <c r="M1939" s="10">
        <v>0</v>
      </c>
      <c r="N1939" s="10"/>
      <c r="O1939" s="10"/>
      <c r="P1939" s="10"/>
      <c r="Q1939" s="10"/>
      <c r="R1939" s="10"/>
      <c r="T1939" s="10">
        <f t="shared" si="542"/>
        <v>200</v>
      </c>
    </row>
    <row r="1940" spans="2:20" x14ac:dyDescent="0.25">
      <c r="B1940" s="97">
        <f t="shared" si="546"/>
        <v>77</v>
      </c>
      <c r="C1940" s="9"/>
      <c r="D1940" s="9"/>
      <c r="E1940" s="9"/>
      <c r="F1940" s="54" t="s">
        <v>574</v>
      </c>
      <c r="G1940" s="126">
        <v>637</v>
      </c>
      <c r="H1940" s="9" t="s">
        <v>308</v>
      </c>
      <c r="I1940" s="10">
        <v>38000</v>
      </c>
      <c r="J1940" s="10">
        <v>33720</v>
      </c>
      <c r="K1940" s="10">
        <f>34320+10436</f>
        <v>44756</v>
      </c>
      <c r="L1940" s="10">
        <v>32408</v>
      </c>
      <c r="M1940" s="10">
        <v>30262</v>
      </c>
      <c r="N1940" s="10"/>
      <c r="O1940" s="10"/>
      <c r="P1940" s="10"/>
      <c r="Q1940" s="10"/>
      <c r="R1940" s="10"/>
      <c r="T1940" s="10">
        <f t="shared" si="542"/>
        <v>38000</v>
      </c>
    </row>
    <row r="1941" spans="2:20" x14ac:dyDescent="0.25">
      <c r="B1941" s="97">
        <f t="shared" si="546"/>
        <v>78</v>
      </c>
      <c r="C1941" s="29"/>
      <c r="D1941" s="29"/>
      <c r="E1941" s="29"/>
      <c r="F1941" s="53" t="s">
        <v>574</v>
      </c>
      <c r="G1941" s="125">
        <v>640</v>
      </c>
      <c r="H1941" s="29" t="s">
        <v>315</v>
      </c>
      <c r="I1941" s="15">
        <v>350</v>
      </c>
      <c r="J1941" s="15">
        <v>100</v>
      </c>
      <c r="K1941" s="15">
        <v>250</v>
      </c>
      <c r="L1941" s="15">
        <v>118</v>
      </c>
      <c r="M1941" s="15">
        <v>97</v>
      </c>
      <c r="N1941" s="15"/>
      <c r="O1941" s="15"/>
      <c r="P1941" s="15"/>
      <c r="Q1941" s="15"/>
      <c r="R1941" s="15"/>
      <c r="T1941" s="15">
        <f t="shared" si="542"/>
        <v>350</v>
      </c>
    </row>
    <row r="1942" spans="2:20" x14ac:dyDescent="0.25">
      <c r="B1942" s="97">
        <f t="shared" ref="B1942:B1944" si="548">B1941+1</f>
        <v>79</v>
      </c>
      <c r="C1942" s="47"/>
      <c r="D1942" s="47">
        <v>4</v>
      </c>
      <c r="E1942" s="296" t="s">
        <v>587</v>
      </c>
      <c r="F1942" s="294"/>
      <c r="G1942" s="294"/>
      <c r="H1942" s="295"/>
      <c r="I1942" s="48">
        <f>I1945+I1959</f>
        <v>508037</v>
      </c>
      <c r="J1942" s="48">
        <f t="shared" ref="J1942:K1942" si="549">J1945+J1959</f>
        <v>469765</v>
      </c>
      <c r="K1942" s="48">
        <f t="shared" si="549"/>
        <v>461765</v>
      </c>
      <c r="L1942" s="48">
        <f>L1945+L1959</f>
        <v>353304.48</v>
      </c>
      <c r="M1942" s="48">
        <f>M1945+M1959</f>
        <v>344957.48</v>
      </c>
      <c r="N1942" s="48">
        <f>N1949+N1959</f>
        <v>658880</v>
      </c>
      <c r="O1942" s="48">
        <f t="shared" ref="O1942:R1942" si="550">O1949+O1959</f>
        <v>670255</v>
      </c>
      <c r="P1942" s="48">
        <f t="shared" si="550"/>
        <v>688755</v>
      </c>
      <c r="Q1942" s="48">
        <f t="shared" si="550"/>
        <v>14780.630000000001</v>
      </c>
      <c r="R1942" s="48">
        <f t="shared" si="550"/>
        <v>150668.08000000002</v>
      </c>
      <c r="T1942" s="48">
        <f t="shared" si="542"/>
        <v>1166917</v>
      </c>
    </row>
    <row r="1943" spans="2:20" hidden="1" x14ac:dyDescent="0.25">
      <c r="B1943" s="97">
        <f t="shared" si="548"/>
        <v>80</v>
      </c>
      <c r="C1943" s="49"/>
      <c r="D1943" s="49"/>
      <c r="E1943" s="49"/>
      <c r="F1943" s="49"/>
      <c r="G1943" s="123"/>
      <c r="H1943" s="49" t="s">
        <v>12</v>
      </c>
      <c r="I1943" s="50" t="e">
        <f>#REF!+#REF!</f>
        <v>#REF!</v>
      </c>
      <c r="J1943" s="50">
        <f t="shared" ref="J1943:R1943" si="551">J1944</f>
        <v>2260</v>
      </c>
      <c r="K1943" s="50">
        <f t="shared" si="551"/>
        <v>58760</v>
      </c>
      <c r="L1943" s="50">
        <f t="shared" si="551"/>
        <v>1488.48</v>
      </c>
      <c r="M1943" s="50">
        <f t="shared" si="551"/>
        <v>1488.48</v>
      </c>
      <c r="N1943" s="50" t="e">
        <f>#REF!+#REF!</f>
        <v>#REF!</v>
      </c>
      <c r="O1943" s="50">
        <f t="shared" si="551"/>
        <v>670255</v>
      </c>
      <c r="P1943" s="50">
        <f t="shared" si="551"/>
        <v>688755</v>
      </c>
      <c r="Q1943" s="50">
        <f t="shared" si="551"/>
        <v>2400.63</v>
      </c>
      <c r="R1943" s="50">
        <f t="shared" si="551"/>
        <v>150668.08000000002</v>
      </c>
      <c r="T1943" s="50" t="e">
        <f t="shared" si="542"/>
        <v>#REF!</v>
      </c>
    </row>
    <row r="1944" spans="2:20" hidden="1" x14ac:dyDescent="0.25">
      <c r="B1944" s="97">
        <f t="shared" si="548"/>
        <v>81</v>
      </c>
      <c r="C1944" s="51"/>
      <c r="D1944" s="51"/>
      <c r="E1944" s="51" t="s">
        <v>60</v>
      </c>
      <c r="F1944" s="51"/>
      <c r="G1944" s="124"/>
      <c r="H1944" s="51"/>
      <c r="I1944" s="52" t="e">
        <f>#REF!+#REF!</f>
        <v>#REF!</v>
      </c>
      <c r="J1944" s="52">
        <f>J1949+J1945</f>
        <v>2260</v>
      </c>
      <c r="K1944" s="52">
        <f>K1949+K1945</f>
        <v>58760</v>
      </c>
      <c r="L1944" s="52">
        <f>L1949+L1945</f>
        <v>1488.48</v>
      </c>
      <c r="M1944" s="52">
        <f>M1949+M1945</f>
        <v>1488.48</v>
      </c>
      <c r="N1944" s="52" t="e">
        <f>#REF!+#REF!</f>
        <v>#REF!</v>
      </c>
      <c r="O1944" s="52">
        <f>O1949+O1945</f>
        <v>670255</v>
      </c>
      <c r="P1944" s="52">
        <f>P1949+P1945</f>
        <v>688755</v>
      </c>
      <c r="Q1944" s="52">
        <f>Q1949+Q1945</f>
        <v>2400.63</v>
      </c>
      <c r="R1944" s="52">
        <f>R1949+R1945</f>
        <v>150668.08000000002</v>
      </c>
      <c r="T1944" s="52" t="e">
        <f t="shared" si="542"/>
        <v>#REF!</v>
      </c>
    </row>
    <row r="1945" spans="2:20" x14ac:dyDescent="0.25">
      <c r="B1945" s="97">
        <f t="shared" ref="B1945:B2008" si="552">B1944+1</f>
        <v>82</v>
      </c>
      <c r="C1945" s="29"/>
      <c r="D1945" s="29"/>
      <c r="E1945" s="29"/>
      <c r="F1945" s="53" t="s">
        <v>574</v>
      </c>
      <c r="G1945" s="125">
        <v>630</v>
      </c>
      <c r="H1945" s="29" t="s">
        <v>303</v>
      </c>
      <c r="I1945" s="15">
        <f>I1946+I1948</f>
        <v>3500</v>
      </c>
      <c r="J1945" s="15">
        <f t="shared" ref="J1945:M1945" si="553">J1946+J1948</f>
        <v>2260</v>
      </c>
      <c r="K1945" s="15">
        <f>K1946+K1948+K1947</f>
        <v>58760</v>
      </c>
      <c r="L1945" s="15">
        <f t="shared" si="553"/>
        <v>1488.48</v>
      </c>
      <c r="M1945" s="15">
        <f t="shared" si="553"/>
        <v>1488.48</v>
      </c>
      <c r="N1945" s="15"/>
      <c r="O1945" s="15"/>
      <c r="P1945" s="15"/>
      <c r="Q1945" s="15"/>
      <c r="R1945" s="15"/>
      <c r="T1945" s="15">
        <f t="shared" si="542"/>
        <v>3500</v>
      </c>
    </row>
    <row r="1946" spans="2:20" x14ac:dyDescent="0.25">
      <c r="B1946" s="97">
        <f t="shared" si="552"/>
        <v>83</v>
      </c>
      <c r="C1946" s="9"/>
      <c r="D1946" s="9"/>
      <c r="E1946" s="9"/>
      <c r="F1946" s="54" t="s">
        <v>574</v>
      </c>
      <c r="G1946" s="126">
        <v>632</v>
      </c>
      <c r="H1946" s="9" t="s">
        <v>314</v>
      </c>
      <c r="I1946" s="10">
        <v>0</v>
      </c>
      <c r="J1946" s="10">
        <v>0</v>
      </c>
      <c r="K1946" s="10">
        <v>36500</v>
      </c>
      <c r="L1946" s="10">
        <v>0</v>
      </c>
      <c r="M1946" s="10">
        <v>0</v>
      </c>
      <c r="N1946" s="10"/>
      <c r="O1946" s="10"/>
      <c r="P1946" s="10"/>
      <c r="Q1946" s="10"/>
      <c r="R1946" s="10"/>
      <c r="T1946" s="10">
        <f t="shared" si="542"/>
        <v>0</v>
      </c>
    </row>
    <row r="1947" spans="2:20" x14ac:dyDescent="0.25">
      <c r="B1947" s="97">
        <f t="shared" si="552"/>
        <v>84</v>
      </c>
      <c r="C1947" s="9"/>
      <c r="D1947" s="9"/>
      <c r="E1947" s="9"/>
      <c r="F1947" s="54" t="s">
        <v>574</v>
      </c>
      <c r="G1947" s="126">
        <v>635</v>
      </c>
      <c r="H1947" s="9" t="s">
        <v>320</v>
      </c>
      <c r="I1947" s="10"/>
      <c r="J1947" s="10"/>
      <c r="K1947" s="10">
        <v>20000</v>
      </c>
      <c r="L1947" s="10"/>
      <c r="M1947" s="10"/>
      <c r="N1947" s="10"/>
      <c r="O1947" s="10"/>
      <c r="P1947" s="10"/>
      <c r="Q1947" s="10"/>
      <c r="R1947" s="10"/>
      <c r="T1947" s="10">
        <f t="shared" si="542"/>
        <v>0</v>
      </c>
    </row>
    <row r="1948" spans="2:20" x14ac:dyDescent="0.25">
      <c r="B1948" s="97">
        <f t="shared" si="552"/>
        <v>85</v>
      </c>
      <c r="C1948" s="9"/>
      <c r="D1948" s="9"/>
      <c r="E1948" s="9"/>
      <c r="F1948" s="54" t="s">
        <v>574</v>
      </c>
      <c r="G1948" s="126">
        <v>637</v>
      </c>
      <c r="H1948" s="9" t="s">
        <v>308</v>
      </c>
      <c r="I1948" s="10">
        <v>3500</v>
      </c>
      <c r="J1948" s="10">
        <v>2260</v>
      </c>
      <c r="K1948" s="10">
        <v>2260</v>
      </c>
      <c r="L1948" s="10">
        <v>1488.48</v>
      </c>
      <c r="M1948" s="10">
        <v>1488.48</v>
      </c>
      <c r="N1948" s="10"/>
      <c r="O1948" s="10"/>
      <c r="P1948" s="10"/>
      <c r="Q1948" s="10"/>
      <c r="R1948" s="10"/>
      <c r="T1948" s="10">
        <f t="shared" si="542"/>
        <v>3500</v>
      </c>
    </row>
    <row r="1949" spans="2:20" x14ac:dyDescent="0.25">
      <c r="B1949" s="97">
        <f t="shared" si="552"/>
        <v>86</v>
      </c>
      <c r="C1949" s="29"/>
      <c r="D1949" s="29"/>
      <c r="E1949" s="29"/>
      <c r="F1949" s="53" t="s">
        <v>574</v>
      </c>
      <c r="G1949" s="125">
        <v>710</v>
      </c>
      <c r="H1949" s="29" t="s">
        <v>321</v>
      </c>
      <c r="I1949" s="15">
        <v>0</v>
      </c>
      <c r="J1949" s="15">
        <v>0</v>
      </c>
      <c r="K1949" s="15">
        <v>0</v>
      </c>
      <c r="L1949" s="15">
        <v>0</v>
      </c>
      <c r="M1949" s="15">
        <v>0</v>
      </c>
      <c r="N1949" s="15">
        <f>N1950+N1953</f>
        <v>550255</v>
      </c>
      <c r="O1949" s="15">
        <f t="shared" ref="O1949:R1949" si="554">O1950+O1953</f>
        <v>670255</v>
      </c>
      <c r="P1949" s="15">
        <f t="shared" si="554"/>
        <v>688755</v>
      </c>
      <c r="Q1949" s="15">
        <f t="shared" si="554"/>
        <v>2400.63</v>
      </c>
      <c r="R1949" s="15">
        <f t="shared" si="554"/>
        <v>150668.08000000002</v>
      </c>
      <c r="T1949" s="15">
        <f t="shared" si="542"/>
        <v>550255</v>
      </c>
    </row>
    <row r="1950" spans="2:20" x14ac:dyDescent="0.25">
      <c r="B1950" s="97">
        <f t="shared" si="552"/>
        <v>87</v>
      </c>
      <c r="C1950" s="9"/>
      <c r="D1950" s="9"/>
      <c r="E1950" s="9"/>
      <c r="F1950" s="54" t="s">
        <v>574</v>
      </c>
      <c r="G1950" s="126">
        <v>716</v>
      </c>
      <c r="H1950" s="9" t="s">
        <v>323</v>
      </c>
      <c r="I1950" s="10"/>
      <c r="J1950" s="10"/>
      <c r="K1950" s="10"/>
      <c r="L1950" s="10"/>
      <c r="M1950" s="10"/>
      <c r="N1950" s="10">
        <f>N1952</f>
        <v>10000</v>
      </c>
      <c r="O1950" s="10"/>
      <c r="P1950" s="10">
        <f>P1951+P1952</f>
        <v>11000</v>
      </c>
      <c r="Q1950" s="10"/>
      <c r="R1950" s="10"/>
      <c r="T1950" s="10">
        <f t="shared" si="542"/>
        <v>10000</v>
      </c>
    </row>
    <row r="1951" spans="2:20" x14ac:dyDescent="0.25">
      <c r="B1951" s="97">
        <f t="shared" si="552"/>
        <v>88</v>
      </c>
      <c r="C1951" s="12"/>
      <c r="D1951" s="12"/>
      <c r="E1951" s="12"/>
      <c r="F1951" s="12"/>
      <c r="G1951" s="127"/>
      <c r="H1951" s="12" t="s">
        <v>588</v>
      </c>
      <c r="I1951" s="13"/>
      <c r="J1951" s="13"/>
      <c r="K1951" s="13"/>
      <c r="L1951" s="13"/>
      <c r="M1951" s="13"/>
      <c r="N1951" s="13"/>
      <c r="O1951" s="13"/>
      <c r="P1951" s="13">
        <v>1000</v>
      </c>
      <c r="Q1951" s="13"/>
      <c r="R1951" s="13"/>
      <c r="T1951" s="13">
        <f t="shared" si="542"/>
        <v>0</v>
      </c>
    </row>
    <row r="1952" spans="2:20" x14ac:dyDescent="0.25">
      <c r="B1952" s="97">
        <f t="shared" si="552"/>
        <v>89</v>
      </c>
      <c r="C1952" s="12"/>
      <c r="D1952" s="12"/>
      <c r="E1952" s="12"/>
      <c r="F1952" s="12"/>
      <c r="G1952" s="127"/>
      <c r="H1952" s="91" t="s">
        <v>850</v>
      </c>
      <c r="I1952" s="13"/>
      <c r="J1952" s="13"/>
      <c r="K1952" s="13"/>
      <c r="L1952" s="13"/>
      <c r="M1952" s="13"/>
      <c r="N1952" s="13">
        <v>10000</v>
      </c>
      <c r="O1952" s="13"/>
      <c r="P1952" s="13">
        <v>10000</v>
      </c>
      <c r="Q1952" s="13"/>
      <c r="R1952" s="13"/>
      <c r="T1952" s="13">
        <f t="shared" si="542"/>
        <v>10000</v>
      </c>
    </row>
    <row r="1953" spans="2:20" x14ac:dyDescent="0.25">
      <c r="B1953" s="97">
        <f t="shared" si="552"/>
        <v>90</v>
      </c>
      <c r="C1953" s="9"/>
      <c r="D1953" s="9"/>
      <c r="E1953" s="9"/>
      <c r="F1953" s="54" t="s">
        <v>574</v>
      </c>
      <c r="G1953" s="126">
        <v>717</v>
      </c>
      <c r="H1953" s="9" t="s">
        <v>327</v>
      </c>
      <c r="I1953" s="10"/>
      <c r="J1953" s="10"/>
      <c r="K1953" s="10"/>
      <c r="L1953" s="10"/>
      <c r="M1953" s="10"/>
      <c r="N1953" s="10">
        <f>SUM(N1954:N1958)</f>
        <v>540255</v>
      </c>
      <c r="O1953" s="10">
        <f t="shared" ref="O1953:R1953" si="555">SUM(O1954:O1958)</f>
        <v>670255</v>
      </c>
      <c r="P1953" s="10">
        <f t="shared" si="555"/>
        <v>677755</v>
      </c>
      <c r="Q1953" s="10">
        <f t="shared" si="555"/>
        <v>2400.63</v>
      </c>
      <c r="R1953" s="10">
        <f t="shared" si="555"/>
        <v>150668.08000000002</v>
      </c>
      <c r="T1953" s="10">
        <f t="shared" si="542"/>
        <v>540255</v>
      </c>
    </row>
    <row r="1954" spans="2:20" x14ac:dyDescent="0.25">
      <c r="B1954" s="97">
        <f t="shared" si="552"/>
        <v>91</v>
      </c>
      <c r="C1954" s="12"/>
      <c r="D1954" s="12"/>
      <c r="E1954" s="12"/>
      <c r="F1954" s="12"/>
      <c r="G1954" s="127"/>
      <c r="H1954" s="12" t="s">
        <v>589</v>
      </c>
      <c r="I1954" s="13"/>
      <c r="J1954" s="13"/>
      <c r="K1954" s="13"/>
      <c r="L1954" s="13"/>
      <c r="M1954" s="13"/>
      <c r="N1954" s="13"/>
      <c r="O1954" s="13"/>
      <c r="P1954" s="13"/>
      <c r="Q1954" s="13">
        <v>2400.63</v>
      </c>
      <c r="R1954" s="13">
        <v>2410</v>
      </c>
      <c r="T1954" s="13">
        <f t="shared" si="542"/>
        <v>0</v>
      </c>
    </row>
    <row r="1955" spans="2:20" x14ac:dyDescent="0.25">
      <c r="B1955" s="97">
        <f t="shared" si="552"/>
        <v>92</v>
      </c>
      <c r="C1955" s="12"/>
      <c r="D1955" s="12"/>
      <c r="E1955" s="12"/>
      <c r="F1955" s="12"/>
      <c r="G1955" s="127"/>
      <c r="H1955" s="12" t="s">
        <v>590</v>
      </c>
      <c r="I1955" s="13"/>
      <c r="J1955" s="13"/>
      <c r="K1955" s="13"/>
      <c r="L1955" s="13"/>
      <c r="M1955" s="13"/>
      <c r="N1955" s="13"/>
      <c r="O1955" s="13"/>
      <c r="P1955" s="13"/>
      <c r="Q1955" s="13"/>
      <c r="R1955" s="13">
        <v>125989.08</v>
      </c>
      <c r="T1955" s="13">
        <f t="shared" si="542"/>
        <v>0</v>
      </c>
    </row>
    <row r="1956" spans="2:20" x14ac:dyDescent="0.25">
      <c r="B1956" s="97">
        <f t="shared" si="552"/>
        <v>93</v>
      </c>
      <c r="C1956" s="12"/>
      <c r="D1956" s="12"/>
      <c r="E1956" s="12"/>
      <c r="F1956" s="12"/>
      <c r="G1956" s="127"/>
      <c r="H1956" s="12" t="s">
        <v>591</v>
      </c>
      <c r="I1956" s="13" t="s">
        <v>752</v>
      </c>
      <c r="J1956" s="13"/>
      <c r="K1956" s="13"/>
      <c r="L1956" s="13"/>
      <c r="M1956" s="13"/>
      <c r="N1956" s="13"/>
      <c r="O1956" s="13"/>
      <c r="P1956" s="13"/>
      <c r="Q1956" s="13"/>
      <c r="R1956" s="13">
        <f>7725+14544</f>
        <v>22269</v>
      </c>
      <c r="T1956" s="13"/>
    </row>
    <row r="1957" spans="2:20" x14ac:dyDescent="0.25">
      <c r="B1957" s="97">
        <f t="shared" si="552"/>
        <v>94</v>
      </c>
      <c r="C1957" s="12"/>
      <c r="D1957" s="12"/>
      <c r="E1957" s="12"/>
      <c r="F1957" s="12"/>
      <c r="G1957" s="127"/>
      <c r="H1957" s="12" t="s">
        <v>588</v>
      </c>
      <c r="I1957" s="13"/>
      <c r="J1957" s="13"/>
      <c r="K1957" s="13"/>
      <c r="L1957" s="13"/>
      <c r="M1957" s="13"/>
      <c r="N1957" s="13"/>
      <c r="O1957" s="13">
        <v>130000</v>
      </c>
      <c r="P1957" s="13">
        <v>137500</v>
      </c>
      <c r="Q1957" s="13"/>
      <c r="R1957" s="13"/>
      <c r="T1957" s="13">
        <f t="shared" si="542"/>
        <v>0</v>
      </c>
    </row>
    <row r="1958" spans="2:20" x14ac:dyDescent="0.25">
      <c r="B1958" s="97">
        <f t="shared" si="552"/>
        <v>95</v>
      </c>
      <c r="C1958" s="12"/>
      <c r="D1958" s="12"/>
      <c r="E1958" s="12"/>
      <c r="F1958" s="12"/>
      <c r="G1958" s="127"/>
      <c r="H1958" s="91" t="s">
        <v>592</v>
      </c>
      <c r="I1958" s="13"/>
      <c r="J1958" s="13"/>
      <c r="K1958" s="13"/>
      <c r="L1958" s="13"/>
      <c r="M1958" s="13"/>
      <c r="N1958" s="13">
        <v>540255</v>
      </c>
      <c r="O1958" s="13">
        <v>540255</v>
      </c>
      <c r="P1958" s="13">
        <v>540255</v>
      </c>
      <c r="Q1958" s="13"/>
      <c r="R1958" s="13"/>
      <c r="T1958" s="13">
        <f t="shared" si="542"/>
        <v>540255</v>
      </c>
    </row>
    <row r="1959" spans="2:20" x14ac:dyDescent="0.25">
      <c r="B1959" s="97">
        <f t="shared" si="552"/>
        <v>96</v>
      </c>
      <c r="C1959" s="49"/>
      <c r="D1959" s="49"/>
      <c r="E1959" s="49">
        <v>2</v>
      </c>
      <c r="F1959" s="49"/>
      <c r="G1959" s="123"/>
      <c r="H1959" s="49" t="s">
        <v>59</v>
      </c>
      <c r="I1959" s="50">
        <f>I1960+I1961+I1962+I1967</f>
        <v>504537</v>
      </c>
      <c r="J1959" s="50">
        <f>J1960+J1961+J1962+J1967</f>
        <v>467505</v>
      </c>
      <c r="K1959" s="50">
        <f>K1960+K1961+K1962+K1967</f>
        <v>403005</v>
      </c>
      <c r="L1959" s="50">
        <f>L1960+L1961+L1962+L1967+L1968</f>
        <v>351816</v>
      </c>
      <c r="M1959" s="50">
        <f>M1960+M1961+M1962+M1967+M1968</f>
        <v>343469</v>
      </c>
      <c r="N1959" s="50">
        <f>N1969</f>
        <v>108625</v>
      </c>
      <c r="O1959" s="50">
        <f t="shared" ref="O1959:R1959" si="556">O1969</f>
        <v>0</v>
      </c>
      <c r="P1959" s="50">
        <f t="shared" si="556"/>
        <v>0</v>
      </c>
      <c r="Q1959" s="50">
        <f t="shared" si="556"/>
        <v>12380</v>
      </c>
      <c r="R1959" s="50">
        <f t="shared" si="556"/>
        <v>0</v>
      </c>
      <c r="T1959" s="50">
        <f t="shared" si="542"/>
        <v>613162</v>
      </c>
    </row>
    <row r="1960" spans="2:20" x14ac:dyDescent="0.25">
      <c r="B1960" s="97">
        <f t="shared" si="552"/>
        <v>97</v>
      </c>
      <c r="C1960" s="29"/>
      <c r="D1960" s="29"/>
      <c r="E1960" s="29"/>
      <c r="F1960" s="53" t="s">
        <v>574</v>
      </c>
      <c r="G1960" s="125">
        <v>610</v>
      </c>
      <c r="H1960" s="29" t="s">
        <v>338</v>
      </c>
      <c r="I1960" s="15">
        <v>130700</v>
      </c>
      <c r="J1960" s="15">
        <v>116000</v>
      </c>
      <c r="K1960" s="15">
        <v>116000</v>
      </c>
      <c r="L1960" s="15">
        <v>112639</v>
      </c>
      <c r="M1960" s="15">
        <v>109387</v>
      </c>
      <c r="N1960" s="15"/>
      <c r="O1960" s="15"/>
      <c r="P1960" s="15"/>
      <c r="Q1960" s="15"/>
      <c r="R1960" s="15"/>
      <c r="T1960" s="15">
        <f t="shared" si="542"/>
        <v>130700</v>
      </c>
    </row>
    <row r="1961" spans="2:20" x14ac:dyDescent="0.25">
      <c r="B1961" s="97">
        <f t="shared" si="552"/>
        <v>98</v>
      </c>
      <c r="C1961" s="29"/>
      <c r="D1961" s="29"/>
      <c r="E1961" s="29"/>
      <c r="F1961" s="53" t="s">
        <v>574</v>
      </c>
      <c r="G1961" s="125">
        <v>620</v>
      </c>
      <c r="H1961" s="29" t="s">
        <v>313</v>
      </c>
      <c r="I1961" s="15">
        <v>59937</v>
      </c>
      <c r="J1961" s="15">
        <v>52500</v>
      </c>
      <c r="K1961" s="15">
        <v>52500</v>
      </c>
      <c r="L1961" s="15">
        <v>39214</v>
      </c>
      <c r="M1961" s="15">
        <v>38268</v>
      </c>
      <c r="N1961" s="15"/>
      <c r="O1961" s="15"/>
      <c r="P1961" s="15"/>
      <c r="Q1961" s="15"/>
      <c r="R1961" s="15"/>
      <c r="T1961" s="15">
        <f t="shared" si="542"/>
        <v>59937</v>
      </c>
    </row>
    <row r="1962" spans="2:20" x14ac:dyDescent="0.25">
      <c r="B1962" s="97">
        <f t="shared" si="552"/>
        <v>99</v>
      </c>
      <c r="C1962" s="29"/>
      <c r="D1962" s="29"/>
      <c r="E1962" s="29"/>
      <c r="F1962" s="53" t="s">
        <v>574</v>
      </c>
      <c r="G1962" s="125">
        <v>630</v>
      </c>
      <c r="H1962" s="29" t="s">
        <v>303</v>
      </c>
      <c r="I1962" s="15">
        <f>SUM(I1963:I1966)</f>
        <v>312600</v>
      </c>
      <c r="J1962" s="15">
        <f>SUM(J1963:J1966)</f>
        <v>298905</v>
      </c>
      <c r="K1962" s="15">
        <f>SUM(K1963:K1966)</f>
        <v>234155</v>
      </c>
      <c r="L1962" s="15">
        <f>SUM(L1963:L1966)</f>
        <v>199342</v>
      </c>
      <c r="M1962" s="15">
        <f>SUM(M1963:M1966)</f>
        <v>191716</v>
      </c>
      <c r="N1962" s="15"/>
      <c r="O1962" s="15"/>
      <c r="P1962" s="15"/>
      <c r="Q1962" s="15"/>
      <c r="R1962" s="15"/>
      <c r="T1962" s="15">
        <f t="shared" si="542"/>
        <v>312600</v>
      </c>
    </row>
    <row r="1963" spans="2:20" x14ac:dyDescent="0.25">
      <c r="B1963" s="97">
        <f t="shared" si="552"/>
        <v>100</v>
      </c>
      <c r="C1963" s="9"/>
      <c r="D1963" s="9"/>
      <c r="E1963" s="9"/>
      <c r="F1963" s="54" t="s">
        <v>574</v>
      </c>
      <c r="G1963" s="126">
        <v>632</v>
      </c>
      <c r="H1963" s="9" t="s">
        <v>314</v>
      </c>
      <c r="I1963" s="10">
        <v>192000</v>
      </c>
      <c r="J1963" s="10">
        <v>189000</v>
      </c>
      <c r="K1963" s="10">
        <v>149500</v>
      </c>
      <c r="L1963" s="10">
        <v>148580</v>
      </c>
      <c r="M1963" s="10">
        <v>144531</v>
      </c>
      <c r="N1963" s="10"/>
      <c r="O1963" s="10"/>
      <c r="P1963" s="10"/>
      <c r="Q1963" s="10"/>
      <c r="R1963" s="10"/>
      <c r="T1963" s="10">
        <f t="shared" si="542"/>
        <v>192000</v>
      </c>
    </row>
    <row r="1964" spans="2:20" x14ac:dyDescent="0.25">
      <c r="B1964" s="97">
        <f t="shared" si="552"/>
        <v>101</v>
      </c>
      <c r="C1964" s="9"/>
      <c r="D1964" s="9"/>
      <c r="E1964" s="9"/>
      <c r="F1964" s="54" t="s">
        <v>574</v>
      </c>
      <c r="G1964" s="126">
        <v>633</v>
      </c>
      <c r="H1964" s="9" t="s">
        <v>305</v>
      </c>
      <c r="I1964" s="10">
        <v>34000</v>
      </c>
      <c r="J1964" s="10">
        <v>33115</v>
      </c>
      <c r="K1964" s="10">
        <v>33115</v>
      </c>
      <c r="L1964" s="10">
        <v>18944</v>
      </c>
      <c r="M1964" s="10">
        <v>16487</v>
      </c>
      <c r="N1964" s="10"/>
      <c r="O1964" s="10"/>
      <c r="P1964" s="10"/>
      <c r="Q1964" s="10"/>
      <c r="R1964" s="10"/>
      <c r="T1964" s="10">
        <f t="shared" si="542"/>
        <v>34000</v>
      </c>
    </row>
    <row r="1965" spans="2:20" x14ac:dyDescent="0.25">
      <c r="B1965" s="97">
        <f t="shared" si="552"/>
        <v>102</v>
      </c>
      <c r="C1965" s="9"/>
      <c r="D1965" s="9"/>
      <c r="E1965" s="9"/>
      <c r="F1965" s="54" t="s">
        <v>574</v>
      </c>
      <c r="G1965" s="126">
        <v>635</v>
      </c>
      <c r="H1965" s="9" t="s">
        <v>320</v>
      </c>
      <c r="I1965" s="10">
        <v>23000</v>
      </c>
      <c r="J1965" s="10">
        <v>26600</v>
      </c>
      <c r="K1965" s="10">
        <v>24100</v>
      </c>
      <c r="L1965" s="10">
        <v>16909</v>
      </c>
      <c r="M1965" s="10">
        <v>15328</v>
      </c>
      <c r="N1965" s="10"/>
      <c r="O1965" s="10"/>
      <c r="P1965" s="10"/>
      <c r="Q1965" s="10"/>
      <c r="R1965" s="10"/>
      <c r="T1965" s="10">
        <f t="shared" si="542"/>
        <v>23000</v>
      </c>
    </row>
    <row r="1966" spans="2:20" x14ac:dyDescent="0.25">
      <c r="B1966" s="97">
        <f t="shared" si="552"/>
        <v>103</v>
      </c>
      <c r="C1966" s="9"/>
      <c r="D1966" s="9"/>
      <c r="E1966" s="9"/>
      <c r="F1966" s="54" t="s">
        <v>574</v>
      </c>
      <c r="G1966" s="126">
        <v>637</v>
      </c>
      <c r="H1966" s="9" t="s">
        <v>308</v>
      </c>
      <c r="I1966" s="10">
        <v>63600</v>
      </c>
      <c r="J1966" s="10">
        <v>50190</v>
      </c>
      <c r="K1966" s="10">
        <f>47440-20000</f>
        <v>27440</v>
      </c>
      <c r="L1966" s="10">
        <v>14909</v>
      </c>
      <c r="M1966" s="10">
        <v>15370</v>
      </c>
      <c r="N1966" s="10"/>
      <c r="O1966" s="10"/>
      <c r="P1966" s="10"/>
      <c r="Q1966" s="10"/>
      <c r="R1966" s="10"/>
      <c r="T1966" s="10">
        <f t="shared" si="542"/>
        <v>63600</v>
      </c>
    </row>
    <row r="1967" spans="2:20" x14ac:dyDescent="0.25">
      <c r="B1967" s="97">
        <f t="shared" si="552"/>
        <v>104</v>
      </c>
      <c r="C1967" s="29"/>
      <c r="D1967" s="29"/>
      <c r="E1967" s="29"/>
      <c r="F1967" s="53" t="s">
        <v>574</v>
      </c>
      <c r="G1967" s="125">
        <v>640</v>
      </c>
      <c r="H1967" s="29" t="s">
        <v>315</v>
      </c>
      <c r="I1967" s="15">
        <v>1300</v>
      </c>
      <c r="J1967" s="15">
        <v>100</v>
      </c>
      <c r="K1967" s="15">
        <v>350</v>
      </c>
      <c r="L1967" s="15">
        <v>0</v>
      </c>
      <c r="M1967" s="15">
        <v>950</v>
      </c>
      <c r="N1967" s="15"/>
      <c r="O1967" s="15"/>
      <c r="P1967" s="15"/>
      <c r="Q1967" s="15"/>
      <c r="R1967" s="15"/>
      <c r="T1967" s="15">
        <f t="shared" si="542"/>
        <v>1300</v>
      </c>
    </row>
    <row r="1968" spans="2:20" x14ac:dyDescent="0.25">
      <c r="B1968" s="97">
        <f t="shared" si="552"/>
        <v>105</v>
      </c>
      <c r="C1968" s="29"/>
      <c r="D1968" s="29"/>
      <c r="E1968" s="29"/>
      <c r="F1968" s="53"/>
      <c r="G1968" s="125"/>
      <c r="H1968" s="29" t="s">
        <v>86</v>
      </c>
      <c r="I1968" s="15">
        <v>0</v>
      </c>
      <c r="J1968" s="15"/>
      <c r="K1968" s="15"/>
      <c r="L1968" s="15">
        <v>621</v>
      </c>
      <c r="M1968" s="15">
        <v>3148</v>
      </c>
      <c r="N1968" s="15"/>
      <c r="O1968" s="15"/>
      <c r="P1968" s="15"/>
      <c r="Q1968" s="15"/>
      <c r="R1968" s="15"/>
      <c r="T1968" s="15">
        <f t="shared" si="542"/>
        <v>0</v>
      </c>
    </row>
    <row r="1969" spans="2:20" x14ac:dyDescent="0.25">
      <c r="B1969" s="97">
        <f t="shared" si="552"/>
        <v>106</v>
      </c>
      <c r="C1969" s="29"/>
      <c r="D1969" s="29"/>
      <c r="E1969" s="29"/>
      <c r="F1969" s="53" t="s">
        <v>574</v>
      </c>
      <c r="G1969" s="125">
        <v>710</v>
      </c>
      <c r="H1969" s="29" t="s">
        <v>321</v>
      </c>
      <c r="I1969" s="15"/>
      <c r="J1969" s="15"/>
      <c r="K1969" s="15"/>
      <c r="L1969" s="15"/>
      <c r="M1969" s="15"/>
      <c r="N1969" s="15">
        <f>SUM(N1970:N1972)</f>
        <v>108625</v>
      </c>
      <c r="O1969" s="15"/>
      <c r="P1969" s="15"/>
      <c r="Q1969" s="15">
        <f t="shared" ref="Q1969" si="557">SUM(Q1970:Q1972)</f>
        <v>12380</v>
      </c>
      <c r="R1969" s="15"/>
      <c r="T1969" s="15">
        <f t="shared" si="542"/>
        <v>108625</v>
      </c>
    </row>
    <row r="1970" spans="2:20" x14ac:dyDescent="0.25">
      <c r="B1970" s="97">
        <f t="shared" si="552"/>
        <v>107</v>
      </c>
      <c r="C1970" s="9"/>
      <c r="D1970" s="9"/>
      <c r="E1970" s="9"/>
      <c r="F1970" s="54" t="s">
        <v>574</v>
      </c>
      <c r="G1970" s="126">
        <v>717</v>
      </c>
      <c r="H1970" s="9" t="s">
        <v>695</v>
      </c>
      <c r="I1970" s="10"/>
      <c r="J1970" s="10"/>
      <c r="K1970" s="10"/>
      <c r="L1970" s="10"/>
      <c r="M1970" s="10"/>
      <c r="N1970" s="10">
        <v>12500</v>
      </c>
      <c r="O1970" s="10"/>
      <c r="P1970" s="10"/>
      <c r="Q1970" s="10">
        <v>0</v>
      </c>
      <c r="R1970" s="10"/>
      <c r="T1970" s="10">
        <f t="shared" si="542"/>
        <v>12500</v>
      </c>
    </row>
    <row r="1971" spans="2:20" x14ac:dyDescent="0.25">
      <c r="B1971" s="97">
        <f t="shared" si="552"/>
        <v>108</v>
      </c>
      <c r="C1971" s="9"/>
      <c r="D1971" s="9"/>
      <c r="E1971" s="9"/>
      <c r="F1971" s="54" t="s">
        <v>574</v>
      </c>
      <c r="G1971" s="126">
        <v>718</v>
      </c>
      <c r="H1971" s="9" t="s">
        <v>696</v>
      </c>
      <c r="I1971" s="10"/>
      <c r="J1971" s="10"/>
      <c r="K1971" s="10"/>
      <c r="L1971" s="10"/>
      <c r="M1971" s="10"/>
      <c r="N1971" s="10">
        <v>66125</v>
      </c>
      <c r="O1971" s="10"/>
      <c r="P1971" s="10"/>
      <c r="Q1971" s="10">
        <v>12380</v>
      </c>
      <c r="R1971" s="10"/>
      <c r="T1971" s="10">
        <f t="shared" si="542"/>
        <v>66125</v>
      </c>
    </row>
    <row r="1972" spans="2:20" x14ac:dyDescent="0.25">
      <c r="B1972" s="97">
        <f t="shared" si="552"/>
        <v>109</v>
      </c>
      <c r="C1972" s="9"/>
      <c r="D1972" s="9"/>
      <c r="E1972" s="63"/>
      <c r="F1972" s="54" t="s">
        <v>574</v>
      </c>
      <c r="G1972" s="131">
        <v>717</v>
      </c>
      <c r="H1972" s="65" t="s">
        <v>705</v>
      </c>
      <c r="I1972" s="10"/>
      <c r="J1972" s="10"/>
      <c r="K1972" s="10"/>
      <c r="L1972" s="10"/>
      <c r="M1972" s="10"/>
      <c r="N1972" s="10">
        <v>30000</v>
      </c>
      <c r="O1972" s="10"/>
      <c r="P1972" s="10"/>
      <c r="Q1972" s="10"/>
      <c r="R1972" s="10"/>
      <c r="T1972" s="10">
        <f t="shared" si="542"/>
        <v>30000</v>
      </c>
    </row>
    <row r="1973" spans="2:20" x14ac:dyDescent="0.25">
      <c r="B1973" s="97">
        <f t="shared" si="552"/>
        <v>110</v>
      </c>
      <c r="C1973" s="47"/>
      <c r="D1973" s="47">
        <v>5</v>
      </c>
      <c r="E1973" s="296" t="s">
        <v>593</v>
      </c>
      <c r="F1973" s="294"/>
      <c r="G1973" s="294"/>
      <c r="H1973" s="295"/>
      <c r="I1973" s="48">
        <f>I1976</f>
        <v>40000</v>
      </c>
      <c r="J1973" s="48">
        <f t="shared" ref="J1973:R1973" si="558">J1976</f>
        <v>0</v>
      </c>
      <c r="K1973" s="48">
        <f t="shared" si="558"/>
        <v>22250</v>
      </c>
      <c r="L1973" s="48">
        <f t="shared" si="558"/>
        <v>0</v>
      </c>
      <c r="M1973" s="48">
        <f t="shared" si="558"/>
        <v>0</v>
      </c>
      <c r="N1973" s="48">
        <v>0</v>
      </c>
      <c r="O1973" s="48">
        <f t="shared" si="558"/>
        <v>0</v>
      </c>
      <c r="P1973" s="48">
        <f t="shared" si="558"/>
        <v>0</v>
      </c>
      <c r="Q1973" s="48">
        <f t="shared" si="558"/>
        <v>0</v>
      </c>
      <c r="R1973" s="48">
        <f t="shared" si="558"/>
        <v>0</v>
      </c>
      <c r="T1973" s="48">
        <f t="shared" si="542"/>
        <v>40000</v>
      </c>
    </row>
    <row r="1974" spans="2:20" hidden="1" x14ac:dyDescent="0.25">
      <c r="B1974" s="97">
        <f t="shared" si="552"/>
        <v>111</v>
      </c>
      <c r="C1974" s="49"/>
      <c r="D1974" s="49"/>
      <c r="E1974" s="49"/>
      <c r="F1974" s="49"/>
      <c r="G1974" s="123"/>
      <c r="H1974" s="49" t="s">
        <v>12</v>
      </c>
      <c r="I1974" s="50" t="e">
        <f>#REF!+#REF!</f>
        <v>#REF!</v>
      </c>
      <c r="J1974" s="50" t="e">
        <f t="shared" ref="J1974:M1974" si="559">J1975</f>
        <v>#REF!</v>
      </c>
      <c r="K1974" s="50" t="e">
        <f t="shared" si="559"/>
        <v>#REF!</v>
      </c>
      <c r="L1974" s="50" t="e">
        <f t="shared" si="559"/>
        <v>#REF!</v>
      </c>
      <c r="M1974" s="50" t="e">
        <f t="shared" si="559"/>
        <v>#REF!</v>
      </c>
      <c r="N1974" s="50"/>
      <c r="O1974" s="50" t="e">
        <f t="shared" ref="O1974:R1974" si="560">O1975</f>
        <v>#REF!</v>
      </c>
      <c r="P1974" s="50" t="e">
        <f t="shared" si="560"/>
        <v>#REF!</v>
      </c>
      <c r="Q1974" s="50" t="e">
        <f t="shared" si="560"/>
        <v>#REF!</v>
      </c>
      <c r="R1974" s="50" t="e">
        <f t="shared" si="560"/>
        <v>#REF!</v>
      </c>
      <c r="T1974" s="50" t="e">
        <f t="shared" si="542"/>
        <v>#REF!</v>
      </c>
    </row>
    <row r="1975" spans="2:20" hidden="1" x14ac:dyDescent="0.25">
      <c r="B1975" s="97">
        <f t="shared" si="552"/>
        <v>112</v>
      </c>
      <c r="C1975" s="51"/>
      <c r="D1975" s="51"/>
      <c r="E1975" s="51" t="s">
        <v>60</v>
      </c>
      <c r="F1975" s="51"/>
      <c r="G1975" s="124"/>
      <c r="H1975" s="51"/>
      <c r="I1975" s="52" t="e">
        <f>#REF!+#REF!</f>
        <v>#REF!</v>
      </c>
      <c r="J1975" s="52" t="e">
        <f>#REF!</f>
        <v>#REF!</v>
      </c>
      <c r="K1975" s="52" t="e">
        <f>#REF!</f>
        <v>#REF!</v>
      </c>
      <c r="L1975" s="52" t="e">
        <f>#REF!</f>
        <v>#REF!</v>
      </c>
      <c r="M1975" s="52" t="e">
        <f>#REF!</f>
        <v>#REF!</v>
      </c>
      <c r="N1975" s="52"/>
      <c r="O1975" s="52" t="e">
        <f>#REF!</f>
        <v>#REF!</v>
      </c>
      <c r="P1975" s="52" t="e">
        <f>#REF!</f>
        <v>#REF!</v>
      </c>
      <c r="Q1975" s="52" t="e">
        <f>#REF!</f>
        <v>#REF!</v>
      </c>
      <c r="R1975" s="52" t="e">
        <f>#REF!</f>
        <v>#REF!</v>
      </c>
      <c r="T1975" s="52" t="e">
        <f t="shared" si="542"/>
        <v>#REF!</v>
      </c>
    </row>
    <row r="1976" spans="2:20" x14ac:dyDescent="0.25">
      <c r="B1976" s="97">
        <f t="shared" si="552"/>
        <v>113</v>
      </c>
      <c r="C1976" s="49"/>
      <c r="D1976" s="49"/>
      <c r="E1976" s="49">
        <v>2</v>
      </c>
      <c r="F1976" s="49"/>
      <c r="G1976" s="123"/>
      <c r="H1976" s="49" t="s">
        <v>59</v>
      </c>
      <c r="I1976" s="50">
        <f>I1978+I1979+I1980</f>
        <v>40000</v>
      </c>
      <c r="J1976" s="50">
        <f t="shared" ref="J1976:R1976" si="561">J1977</f>
        <v>0</v>
      </c>
      <c r="K1976" s="50">
        <f t="shared" si="561"/>
        <v>22250</v>
      </c>
      <c r="L1976" s="50">
        <f t="shared" si="561"/>
        <v>0</v>
      </c>
      <c r="M1976" s="50">
        <f t="shared" si="561"/>
        <v>0</v>
      </c>
      <c r="N1976" s="50"/>
      <c r="O1976" s="50">
        <f t="shared" si="561"/>
        <v>0</v>
      </c>
      <c r="P1976" s="50">
        <f t="shared" si="561"/>
        <v>0</v>
      </c>
      <c r="Q1976" s="50">
        <f t="shared" si="561"/>
        <v>0</v>
      </c>
      <c r="R1976" s="50">
        <f t="shared" si="561"/>
        <v>0</v>
      </c>
      <c r="T1976" s="50">
        <f t="shared" si="542"/>
        <v>40000</v>
      </c>
    </row>
    <row r="1977" spans="2:20" hidden="1" x14ac:dyDescent="0.25">
      <c r="B1977" s="97">
        <f t="shared" si="552"/>
        <v>114</v>
      </c>
      <c r="C1977" s="51"/>
      <c r="D1977" s="51"/>
      <c r="E1977" s="51" t="s">
        <v>60</v>
      </c>
      <c r="F1977" s="51"/>
      <c r="G1977" s="124"/>
      <c r="H1977" s="51" t="s">
        <v>593</v>
      </c>
      <c r="I1977" s="52" t="e">
        <f>#REF!+#REF!</f>
        <v>#REF!</v>
      </c>
      <c r="J1977" s="52">
        <f t="shared" ref="J1977:R1977" si="562">J1980+J1979+J1978</f>
        <v>0</v>
      </c>
      <c r="K1977" s="52">
        <f t="shared" si="562"/>
        <v>22250</v>
      </c>
      <c r="L1977" s="52">
        <f t="shared" si="562"/>
        <v>0</v>
      </c>
      <c r="M1977" s="52">
        <f t="shared" si="562"/>
        <v>0</v>
      </c>
      <c r="N1977" s="52"/>
      <c r="O1977" s="52">
        <f t="shared" si="562"/>
        <v>0</v>
      </c>
      <c r="P1977" s="52">
        <f t="shared" si="562"/>
        <v>0</v>
      </c>
      <c r="Q1977" s="52">
        <f t="shared" si="562"/>
        <v>0</v>
      </c>
      <c r="R1977" s="52">
        <f t="shared" si="562"/>
        <v>0</v>
      </c>
      <c r="T1977" s="52" t="e">
        <f t="shared" si="542"/>
        <v>#REF!</v>
      </c>
    </row>
    <row r="1978" spans="2:20" x14ac:dyDescent="0.25">
      <c r="B1978" s="97">
        <f t="shared" si="552"/>
        <v>115</v>
      </c>
      <c r="C1978" s="29"/>
      <c r="D1978" s="29"/>
      <c r="E1978" s="29"/>
      <c r="F1978" s="53" t="s">
        <v>574</v>
      </c>
      <c r="G1978" s="125">
        <v>610</v>
      </c>
      <c r="H1978" s="29" t="s">
        <v>338</v>
      </c>
      <c r="I1978" s="15">
        <v>7800</v>
      </c>
      <c r="J1978" s="15"/>
      <c r="K1978" s="15">
        <v>1950</v>
      </c>
      <c r="L1978" s="15"/>
      <c r="M1978" s="15"/>
      <c r="N1978" s="15"/>
      <c r="O1978" s="15"/>
      <c r="P1978" s="15"/>
      <c r="Q1978" s="15"/>
      <c r="R1978" s="15"/>
      <c r="T1978" s="15">
        <f t="shared" si="542"/>
        <v>7800</v>
      </c>
    </row>
    <row r="1979" spans="2:20" x14ac:dyDescent="0.25">
      <c r="B1979" s="97">
        <f t="shared" si="552"/>
        <v>116</v>
      </c>
      <c r="C1979" s="29"/>
      <c r="D1979" s="29"/>
      <c r="E1979" s="29"/>
      <c r="F1979" s="53" t="s">
        <v>574</v>
      </c>
      <c r="G1979" s="125">
        <v>620</v>
      </c>
      <c r="H1979" s="29" t="s">
        <v>313</v>
      </c>
      <c r="I1979" s="15">
        <v>2750</v>
      </c>
      <c r="J1979" s="15"/>
      <c r="K1979" s="15">
        <v>700</v>
      </c>
      <c r="L1979" s="15"/>
      <c r="M1979" s="15"/>
      <c r="N1979" s="15"/>
      <c r="O1979" s="15"/>
      <c r="P1979" s="15"/>
      <c r="Q1979" s="15"/>
      <c r="R1979" s="15"/>
      <c r="T1979" s="15">
        <f t="shared" si="542"/>
        <v>2750</v>
      </c>
    </row>
    <row r="1980" spans="2:20" x14ac:dyDescent="0.25">
      <c r="B1980" s="97">
        <f t="shared" si="552"/>
        <v>117</v>
      </c>
      <c r="C1980" s="29"/>
      <c r="D1980" s="29"/>
      <c r="E1980" s="29"/>
      <c r="F1980" s="53" t="s">
        <v>574</v>
      </c>
      <c r="G1980" s="125">
        <v>630</v>
      </c>
      <c r="H1980" s="29" t="s">
        <v>303</v>
      </c>
      <c r="I1980" s="15">
        <f>I1981+I1982+I1983+I1984+I1985</f>
        <v>29450</v>
      </c>
      <c r="J1980" s="15"/>
      <c r="K1980" s="15">
        <f>SUM(K1981:K1985)</f>
        <v>19600</v>
      </c>
      <c r="L1980" s="15"/>
      <c r="M1980" s="15"/>
      <c r="N1980" s="15"/>
      <c r="O1980" s="15"/>
      <c r="P1980" s="15"/>
      <c r="Q1980" s="15"/>
      <c r="R1980" s="15"/>
      <c r="T1980" s="15">
        <f t="shared" si="542"/>
        <v>29450</v>
      </c>
    </row>
    <row r="1981" spans="2:20" x14ac:dyDescent="0.25">
      <c r="B1981" s="97">
        <f t="shared" si="552"/>
        <v>118</v>
      </c>
      <c r="C1981" s="9"/>
      <c r="D1981" s="9"/>
      <c r="E1981" s="9"/>
      <c r="F1981" s="54" t="s">
        <v>574</v>
      </c>
      <c r="G1981" s="126">
        <v>632</v>
      </c>
      <c r="H1981" s="9" t="s">
        <v>314</v>
      </c>
      <c r="I1981" s="10">
        <v>23000</v>
      </c>
      <c r="J1981" s="10"/>
      <c r="K1981" s="10">
        <v>0</v>
      </c>
      <c r="L1981" s="10"/>
      <c r="M1981" s="10"/>
      <c r="N1981" s="10"/>
      <c r="O1981" s="10"/>
      <c r="P1981" s="10"/>
      <c r="Q1981" s="10"/>
      <c r="R1981" s="10"/>
      <c r="T1981" s="10">
        <f t="shared" si="542"/>
        <v>23000</v>
      </c>
    </row>
    <row r="1982" spans="2:20" x14ac:dyDescent="0.25">
      <c r="B1982" s="97">
        <f t="shared" si="552"/>
        <v>119</v>
      </c>
      <c r="C1982" s="9"/>
      <c r="D1982" s="9"/>
      <c r="E1982" s="9"/>
      <c r="F1982" s="54" t="s">
        <v>574</v>
      </c>
      <c r="G1982" s="126">
        <v>633</v>
      </c>
      <c r="H1982" s="9" t="s">
        <v>305</v>
      </c>
      <c r="I1982" s="10">
        <v>1250</v>
      </c>
      <c r="J1982" s="10"/>
      <c r="K1982" s="10">
        <v>3000</v>
      </c>
      <c r="L1982" s="10"/>
      <c r="M1982" s="10"/>
      <c r="N1982" s="10"/>
      <c r="O1982" s="10"/>
      <c r="P1982" s="10"/>
      <c r="Q1982" s="10"/>
      <c r="R1982" s="10"/>
      <c r="T1982" s="10">
        <f t="shared" si="542"/>
        <v>1250</v>
      </c>
    </row>
    <row r="1983" spans="2:20" x14ac:dyDescent="0.25">
      <c r="B1983" s="97">
        <f t="shared" si="552"/>
        <v>120</v>
      </c>
      <c r="C1983" s="9"/>
      <c r="D1983" s="9"/>
      <c r="E1983" s="9"/>
      <c r="F1983" s="54" t="s">
        <v>574</v>
      </c>
      <c r="G1983" s="126">
        <v>634</v>
      </c>
      <c r="H1983" s="9" t="s">
        <v>306</v>
      </c>
      <c r="I1983" s="10">
        <v>200</v>
      </c>
      <c r="J1983" s="10"/>
      <c r="K1983" s="10">
        <v>100</v>
      </c>
      <c r="L1983" s="10"/>
      <c r="M1983" s="10"/>
      <c r="N1983" s="10"/>
      <c r="O1983" s="10"/>
      <c r="P1983" s="10"/>
      <c r="Q1983" s="10"/>
      <c r="R1983" s="10"/>
      <c r="T1983" s="10">
        <f t="shared" si="542"/>
        <v>200</v>
      </c>
    </row>
    <row r="1984" spans="2:20" x14ac:dyDescent="0.25">
      <c r="B1984" s="97">
        <f t="shared" si="552"/>
        <v>121</v>
      </c>
      <c r="C1984" s="9"/>
      <c r="D1984" s="9"/>
      <c r="E1984" s="9"/>
      <c r="F1984" s="54" t="s">
        <v>574</v>
      </c>
      <c r="G1984" s="126">
        <v>635</v>
      </c>
      <c r="H1984" s="9" t="s">
        <v>320</v>
      </c>
      <c r="I1984" s="10">
        <f>5000-1200</f>
        <v>3800</v>
      </c>
      <c r="J1984" s="10"/>
      <c r="K1984" s="10">
        <v>16000</v>
      </c>
      <c r="L1984" s="10"/>
      <c r="M1984" s="10"/>
      <c r="N1984" s="10"/>
      <c r="O1984" s="10"/>
      <c r="P1984" s="10"/>
      <c r="Q1984" s="10"/>
      <c r="R1984" s="10"/>
      <c r="T1984" s="10">
        <f t="shared" si="542"/>
        <v>3800</v>
      </c>
    </row>
    <row r="1985" spans="2:20" x14ac:dyDescent="0.25">
      <c r="B1985" s="97">
        <f t="shared" si="552"/>
        <v>122</v>
      </c>
      <c r="C1985" s="9"/>
      <c r="D1985" s="9"/>
      <c r="E1985" s="9"/>
      <c r="F1985" s="54" t="s">
        <v>574</v>
      </c>
      <c r="G1985" s="126">
        <v>637</v>
      </c>
      <c r="H1985" s="9" t="s">
        <v>308</v>
      </c>
      <c r="I1985" s="10">
        <v>1200</v>
      </c>
      <c r="J1985" s="10"/>
      <c r="K1985" s="10">
        <v>500</v>
      </c>
      <c r="L1985" s="10"/>
      <c r="M1985" s="10"/>
      <c r="N1985" s="10"/>
      <c r="O1985" s="10"/>
      <c r="P1985" s="10"/>
      <c r="Q1985" s="10"/>
      <c r="R1985" s="10"/>
      <c r="T1985" s="10">
        <f t="shared" si="542"/>
        <v>1200</v>
      </c>
    </row>
    <row r="1986" spans="2:20" ht="15.75" x14ac:dyDescent="0.25">
      <c r="B1986" s="97">
        <f t="shared" si="552"/>
        <v>123</v>
      </c>
      <c r="C1986" s="45">
        <v>4</v>
      </c>
      <c r="D1986" s="293" t="s">
        <v>594</v>
      </c>
      <c r="E1986" s="294"/>
      <c r="F1986" s="294"/>
      <c r="G1986" s="294"/>
      <c r="H1986" s="295"/>
      <c r="I1986" s="46">
        <f>I2003</f>
        <v>57019</v>
      </c>
      <c r="J1986" s="46">
        <f t="shared" ref="J1986:M1986" si="563">J2003</f>
        <v>20000</v>
      </c>
      <c r="K1986" s="46">
        <f t="shared" si="563"/>
        <v>45300</v>
      </c>
      <c r="L1986" s="46">
        <f t="shared" si="563"/>
        <v>44678</v>
      </c>
      <c r="M1986" s="46">
        <f t="shared" si="563"/>
        <v>51259</v>
      </c>
      <c r="N1986" s="46">
        <f>N2003+N1990</f>
        <v>299500</v>
      </c>
      <c r="O1986" s="46">
        <f t="shared" ref="O1986:R1986" si="564">O1990</f>
        <v>45600</v>
      </c>
      <c r="P1986" s="46">
        <f t="shared" si="564"/>
        <v>146000</v>
      </c>
      <c r="Q1986" s="46">
        <f>Q1990</f>
        <v>1499</v>
      </c>
      <c r="R1986" s="46">
        <f t="shared" si="564"/>
        <v>8811</v>
      </c>
      <c r="T1986" s="46">
        <f t="shared" si="542"/>
        <v>356519</v>
      </c>
    </row>
    <row r="1987" spans="2:20" hidden="1" x14ac:dyDescent="0.25">
      <c r="B1987" s="97">
        <f t="shared" si="552"/>
        <v>124</v>
      </c>
      <c r="C1987" s="47"/>
      <c r="D1987" s="47" t="s">
        <v>60</v>
      </c>
      <c r="E1987" s="296"/>
      <c r="F1987" s="294"/>
      <c r="G1987" s="294"/>
      <c r="H1987" s="295"/>
      <c r="I1987" s="48" t="e">
        <f>#REF!+#REF!</f>
        <v>#REF!</v>
      </c>
      <c r="J1987" s="48" t="e">
        <f>J2003+J1988</f>
        <v>#REF!</v>
      </c>
      <c r="K1987" s="48" t="e">
        <f>K2003+K1988</f>
        <v>#REF!</v>
      </c>
      <c r="L1987" s="48" t="e">
        <f>L2003+L1988</f>
        <v>#REF!</v>
      </c>
      <c r="M1987" s="48" t="e">
        <f>M2003+M1988</f>
        <v>#REF!</v>
      </c>
      <c r="N1987" s="48"/>
      <c r="O1987" s="48" t="e">
        <f>O2003+O1988</f>
        <v>#REF!</v>
      </c>
      <c r="P1987" s="48" t="e">
        <f>P2003+P1988</f>
        <v>#REF!</v>
      </c>
      <c r="Q1987" s="48" t="e">
        <f>Q2003+Q1988</f>
        <v>#REF!</v>
      </c>
      <c r="R1987" s="48" t="e">
        <f>R2003+R1988</f>
        <v>#REF!</v>
      </c>
      <c r="T1987" s="48" t="e">
        <f t="shared" si="542"/>
        <v>#REF!</v>
      </c>
    </row>
    <row r="1988" spans="2:20" hidden="1" x14ac:dyDescent="0.25">
      <c r="B1988" s="97">
        <f t="shared" si="552"/>
        <v>125</v>
      </c>
      <c r="C1988" s="49"/>
      <c r="D1988" s="49"/>
      <c r="E1988" s="49"/>
      <c r="F1988" s="49"/>
      <c r="G1988" s="123"/>
      <c r="H1988" s="49" t="s">
        <v>12</v>
      </c>
      <c r="I1988" s="50" t="e">
        <f>#REF!+#REF!</f>
        <v>#REF!</v>
      </c>
      <c r="J1988" s="50" t="e">
        <f t="shared" ref="J1988:R1988" si="565">J1989</f>
        <v>#REF!</v>
      </c>
      <c r="K1988" s="50" t="e">
        <f t="shared" si="565"/>
        <v>#REF!</v>
      </c>
      <c r="L1988" s="50" t="e">
        <f t="shared" si="565"/>
        <v>#REF!</v>
      </c>
      <c r="M1988" s="50" t="e">
        <f t="shared" si="565"/>
        <v>#REF!</v>
      </c>
      <c r="N1988" s="50"/>
      <c r="O1988" s="50" t="e">
        <f t="shared" si="565"/>
        <v>#REF!</v>
      </c>
      <c r="P1988" s="50" t="e">
        <f t="shared" si="565"/>
        <v>#REF!</v>
      </c>
      <c r="Q1988" s="50" t="e">
        <f t="shared" si="565"/>
        <v>#REF!</v>
      </c>
      <c r="R1988" s="50" t="e">
        <f t="shared" si="565"/>
        <v>#REF!</v>
      </c>
      <c r="T1988" s="50" t="e">
        <f t="shared" si="542"/>
        <v>#REF!</v>
      </c>
    </row>
    <row r="1989" spans="2:20" hidden="1" x14ac:dyDescent="0.25">
      <c r="B1989" s="97">
        <f t="shared" si="552"/>
        <v>126</v>
      </c>
      <c r="C1989" s="51"/>
      <c r="D1989" s="51"/>
      <c r="E1989" s="51" t="s">
        <v>60</v>
      </c>
      <c r="F1989" s="51"/>
      <c r="G1989" s="124"/>
      <c r="H1989" s="51"/>
      <c r="I1989" s="52" t="e">
        <f>#REF!+#REF!</f>
        <v>#REF!</v>
      </c>
      <c r="J1989" s="52" t="e">
        <f>J1990+#REF!</f>
        <v>#REF!</v>
      </c>
      <c r="K1989" s="52" t="e">
        <f>K1990+#REF!</f>
        <v>#REF!</v>
      </c>
      <c r="L1989" s="52" t="e">
        <f>L1990+#REF!</f>
        <v>#REF!</v>
      </c>
      <c r="M1989" s="52" t="e">
        <f>M1990+#REF!</f>
        <v>#REF!</v>
      </c>
      <c r="N1989" s="52"/>
      <c r="O1989" s="52" t="e">
        <f>O1990+#REF!</f>
        <v>#REF!</v>
      </c>
      <c r="P1989" s="52" t="e">
        <f>P1990+#REF!</f>
        <v>#REF!</v>
      </c>
      <c r="Q1989" s="52" t="e">
        <f>Q1990+#REF!</f>
        <v>#REF!</v>
      </c>
      <c r="R1989" s="52" t="e">
        <f>R1990+#REF!</f>
        <v>#REF!</v>
      </c>
      <c r="T1989" s="52" t="e">
        <f t="shared" si="542"/>
        <v>#REF!</v>
      </c>
    </row>
    <row r="1990" spans="2:20" x14ac:dyDescent="0.25">
      <c r="B1990" s="97">
        <f t="shared" si="552"/>
        <v>127</v>
      </c>
      <c r="C1990" s="29"/>
      <c r="D1990" s="29"/>
      <c r="E1990" s="29"/>
      <c r="F1990" s="53" t="s">
        <v>574</v>
      </c>
      <c r="G1990" s="125">
        <v>710</v>
      </c>
      <c r="H1990" s="29" t="s">
        <v>321</v>
      </c>
      <c r="I1990" s="15"/>
      <c r="J1990" s="15"/>
      <c r="K1990" s="15"/>
      <c r="L1990" s="15"/>
      <c r="M1990" s="15"/>
      <c r="N1990" s="15">
        <f>N1991+N1993+N1996</f>
        <v>269900</v>
      </c>
      <c r="O1990" s="15">
        <f t="shared" ref="O1990:R1990" si="566">O1996+O1993+O1991</f>
        <v>45600</v>
      </c>
      <c r="P1990" s="15">
        <f>P1996+P1993+P1991</f>
        <v>146000</v>
      </c>
      <c r="Q1990" s="15">
        <f t="shared" si="566"/>
        <v>1499</v>
      </c>
      <c r="R1990" s="15">
        <f t="shared" si="566"/>
        <v>8811</v>
      </c>
      <c r="T1990" s="15">
        <f t="shared" ref="T1990:T2020" si="567">I1990+N1990</f>
        <v>269900</v>
      </c>
    </row>
    <row r="1991" spans="2:20" x14ac:dyDescent="0.25">
      <c r="B1991" s="97">
        <f t="shared" si="552"/>
        <v>128</v>
      </c>
      <c r="C1991" s="9"/>
      <c r="D1991" s="9"/>
      <c r="E1991" s="9"/>
      <c r="F1991" s="54" t="s">
        <v>574</v>
      </c>
      <c r="G1991" s="126">
        <v>712</v>
      </c>
      <c r="H1991" s="9" t="s">
        <v>351</v>
      </c>
      <c r="I1991" s="10"/>
      <c r="J1991" s="10"/>
      <c r="K1991" s="10"/>
      <c r="L1991" s="10"/>
      <c r="M1991" s="10"/>
      <c r="N1991" s="10"/>
      <c r="O1991" s="10"/>
      <c r="P1991" s="10">
        <f t="shared" ref="P1991" si="568">P1992</f>
        <v>40000</v>
      </c>
      <c r="Q1991" s="10"/>
      <c r="R1991" s="10"/>
      <c r="T1991" s="10">
        <f t="shared" si="567"/>
        <v>0</v>
      </c>
    </row>
    <row r="1992" spans="2:20" x14ac:dyDescent="0.25">
      <c r="B1992" s="97">
        <f t="shared" si="552"/>
        <v>129</v>
      </c>
      <c r="C1992" s="12"/>
      <c r="D1992" s="12"/>
      <c r="E1992" s="12"/>
      <c r="F1992" s="12"/>
      <c r="G1992" s="127"/>
      <c r="H1992" s="12" t="s">
        <v>774</v>
      </c>
      <c r="I1992" s="13"/>
      <c r="J1992" s="13"/>
      <c r="K1992" s="13"/>
      <c r="L1992" s="13"/>
      <c r="M1992" s="13"/>
      <c r="N1992" s="13"/>
      <c r="O1992" s="13"/>
      <c r="P1992" s="13">
        <v>40000</v>
      </c>
      <c r="Q1992" s="13"/>
      <c r="R1992" s="13"/>
      <c r="T1992" s="13">
        <f t="shared" si="567"/>
        <v>0</v>
      </c>
    </row>
    <row r="1993" spans="2:20" x14ac:dyDescent="0.25">
      <c r="B1993" s="97">
        <f t="shared" si="552"/>
        <v>130</v>
      </c>
      <c r="C1993" s="9"/>
      <c r="D1993" s="9"/>
      <c r="E1993" s="9"/>
      <c r="F1993" s="54" t="s">
        <v>574</v>
      </c>
      <c r="G1993" s="126">
        <v>716</v>
      </c>
      <c r="H1993" s="9" t="s">
        <v>323</v>
      </c>
      <c r="I1993" s="10"/>
      <c r="J1993" s="10"/>
      <c r="K1993" s="10"/>
      <c r="L1993" s="10"/>
      <c r="M1993" s="10"/>
      <c r="N1993" s="10"/>
      <c r="O1993" s="10"/>
      <c r="P1993" s="10">
        <f t="shared" ref="P1993:Q1993" si="569">P1995+P1994</f>
        <v>4000</v>
      </c>
      <c r="Q1993" s="10">
        <f t="shared" si="569"/>
        <v>1499</v>
      </c>
      <c r="R1993" s="10"/>
      <c r="T1993" s="10">
        <f t="shared" si="567"/>
        <v>0</v>
      </c>
    </row>
    <row r="1994" spans="2:20" x14ac:dyDescent="0.25">
      <c r="B1994" s="97">
        <f t="shared" si="552"/>
        <v>131</v>
      </c>
      <c r="C1994" s="12"/>
      <c r="D1994" s="12"/>
      <c r="E1994" s="12"/>
      <c r="F1994" s="12"/>
      <c r="G1994" s="127"/>
      <c r="H1994" s="12" t="s">
        <v>595</v>
      </c>
      <c r="I1994" s="13"/>
      <c r="J1994" s="13"/>
      <c r="K1994" s="13"/>
      <c r="L1994" s="13"/>
      <c r="M1994" s="13"/>
      <c r="N1994" s="13"/>
      <c r="O1994" s="13"/>
      <c r="P1994" s="13">
        <v>3000</v>
      </c>
      <c r="Q1994" s="13">
        <v>1499</v>
      </c>
      <c r="R1994" s="13"/>
      <c r="T1994" s="13">
        <f t="shared" si="567"/>
        <v>0</v>
      </c>
    </row>
    <row r="1995" spans="2:20" x14ac:dyDescent="0.25">
      <c r="B1995" s="97">
        <f t="shared" si="552"/>
        <v>132</v>
      </c>
      <c r="C1995" s="12"/>
      <c r="D1995" s="12"/>
      <c r="E1995" s="12"/>
      <c r="F1995" s="12"/>
      <c r="G1995" s="127"/>
      <c r="H1995" s="12" t="s">
        <v>596</v>
      </c>
      <c r="I1995" s="13"/>
      <c r="J1995" s="13"/>
      <c r="K1995" s="13"/>
      <c r="L1995" s="13"/>
      <c r="M1995" s="13"/>
      <c r="N1995" s="13"/>
      <c r="O1995" s="13"/>
      <c r="P1995" s="13">
        <v>1000</v>
      </c>
      <c r="Q1995" s="13"/>
      <c r="R1995" s="13"/>
      <c r="T1995" s="13">
        <f t="shared" si="567"/>
        <v>0</v>
      </c>
    </row>
    <row r="1996" spans="2:20" x14ac:dyDescent="0.25">
      <c r="B1996" s="97">
        <f t="shared" si="552"/>
        <v>133</v>
      </c>
      <c r="C1996" s="9"/>
      <c r="D1996" s="9"/>
      <c r="E1996" s="9"/>
      <c r="F1996" s="54" t="s">
        <v>574</v>
      </c>
      <c r="G1996" s="126">
        <v>717</v>
      </c>
      <c r="H1996" s="9" t="s">
        <v>327</v>
      </c>
      <c r="I1996" s="10"/>
      <c r="J1996" s="10"/>
      <c r="K1996" s="10"/>
      <c r="L1996" s="10"/>
      <c r="M1996" s="10"/>
      <c r="N1996" s="10">
        <f>SUM(N1997:N2002)</f>
        <v>269900</v>
      </c>
      <c r="O1996" s="10">
        <f>O1998+O1997</f>
        <v>45600</v>
      </c>
      <c r="P1996" s="10">
        <f>P1998+P1997+P1999+P2000</f>
        <v>102000</v>
      </c>
      <c r="Q1996" s="10"/>
      <c r="R1996" s="10">
        <f>R1998+R1997+R2001</f>
        <v>8811</v>
      </c>
      <c r="T1996" s="10">
        <f t="shared" si="567"/>
        <v>269900</v>
      </c>
    </row>
    <row r="1997" spans="2:20" x14ac:dyDescent="0.25">
      <c r="B1997" s="97">
        <f t="shared" si="552"/>
        <v>134</v>
      </c>
      <c r="C1997" s="12"/>
      <c r="D1997" s="12"/>
      <c r="E1997" s="12"/>
      <c r="F1997" s="12"/>
      <c r="G1997" s="127"/>
      <c r="H1997" s="91" t="s">
        <v>597</v>
      </c>
      <c r="I1997" s="13"/>
      <c r="J1997" s="13"/>
      <c r="K1997" s="13"/>
      <c r="L1997" s="13"/>
      <c r="M1997" s="13"/>
      <c r="N1997" s="13"/>
      <c r="O1997" s="13">
        <v>40600</v>
      </c>
      <c r="P1997" s="13">
        <f>30600-1000</f>
        <v>29600</v>
      </c>
      <c r="Q1997" s="13"/>
      <c r="R1997" s="13">
        <v>5817</v>
      </c>
      <c r="T1997" s="13">
        <f t="shared" si="567"/>
        <v>0</v>
      </c>
    </row>
    <row r="1998" spans="2:20" x14ac:dyDescent="0.25">
      <c r="B1998" s="97">
        <f t="shared" si="552"/>
        <v>135</v>
      </c>
      <c r="C1998" s="12"/>
      <c r="D1998" s="12"/>
      <c r="E1998" s="12"/>
      <c r="F1998" s="12"/>
      <c r="G1998" s="127"/>
      <c r="H1998" s="91" t="s">
        <v>913</v>
      </c>
      <c r="I1998" s="13"/>
      <c r="J1998" s="13"/>
      <c r="K1998" s="13"/>
      <c r="L1998" s="13"/>
      <c r="M1998" s="13"/>
      <c r="N1998" s="13">
        <f>40000+140000+2000</f>
        <v>182000</v>
      </c>
      <c r="O1998" s="13">
        <v>5000</v>
      </c>
      <c r="P1998" s="13">
        <f>40000+2000</f>
        <v>42000</v>
      </c>
      <c r="Q1998" s="13"/>
      <c r="R1998" s="13"/>
      <c r="T1998" s="13">
        <f t="shared" si="567"/>
        <v>182000</v>
      </c>
    </row>
    <row r="1999" spans="2:20" x14ac:dyDescent="0.25">
      <c r="B1999" s="97">
        <f t="shared" si="552"/>
        <v>136</v>
      </c>
      <c r="C1999" s="12"/>
      <c r="D1999" s="12"/>
      <c r="E1999" s="12"/>
      <c r="F1999" s="12"/>
      <c r="G1999" s="127"/>
      <c r="H1999" s="91" t="s">
        <v>598</v>
      </c>
      <c r="I1999" s="13"/>
      <c r="J1999" s="13"/>
      <c r="K1999" s="13"/>
      <c r="L1999" s="13"/>
      <c r="M1999" s="13"/>
      <c r="N1999" s="13"/>
      <c r="O1999" s="13"/>
      <c r="P1999" s="13">
        <f>12500+1000</f>
        <v>13500</v>
      </c>
      <c r="Q1999" s="13"/>
      <c r="R1999" s="13"/>
      <c r="T1999" s="13">
        <f t="shared" si="567"/>
        <v>0</v>
      </c>
    </row>
    <row r="2000" spans="2:20" ht="23.25" x14ac:dyDescent="0.25">
      <c r="B2000" s="97">
        <f t="shared" si="552"/>
        <v>137</v>
      </c>
      <c r="C2000" s="12"/>
      <c r="D2000" s="12"/>
      <c r="E2000" s="12"/>
      <c r="F2000" s="12"/>
      <c r="G2000" s="127"/>
      <c r="H2000" s="92" t="s">
        <v>841</v>
      </c>
      <c r="I2000" s="13"/>
      <c r="J2000" s="13"/>
      <c r="K2000" s="13"/>
      <c r="L2000" s="13"/>
      <c r="M2000" s="13"/>
      <c r="N2000" s="13">
        <v>16900</v>
      </c>
      <c r="O2000" s="13"/>
      <c r="P2000" s="13">
        <f>15000+1900</f>
        <v>16900</v>
      </c>
      <c r="Q2000" s="13"/>
      <c r="R2000" s="13"/>
      <c r="T2000" s="13">
        <f t="shared" si="567"/>
        <v>16900</v>
      </c>
    </row>
    <row r="2001" spans="2:20" x14ac:dyDescent="0.25">
      <c r="B2001" s="97">
        <f t="shared" si="552"/>
        <v>138</v>
      </c>
      <c r="C2001" s="12"/>
      <c r="D2001" s="12"/>
      <c r="E2001" s="12"/>
      <c r="F2001" s="12"/>
      <c r="G2001" s="127"/>
      <c r="H2001" s="12" t="s">
        <v>599</v>
      </c>
      <c r="I2001" s="13"/>
      <c r="J2001" s="13"/>
      <c r="K2001" s="13"/>
      <c r="L2001" s="13"/>
      <c r="M2001" s="13"/>
      <c r="N2001" s="13"/>
      <c r="O2001" s="13"/>
      <c r="P2001" s="13"/>
      <c r="Q2001" s="13"/>
      <c r="R2001" s="13">
        <v>2994</v>
      </c>
      <c r="T2001" s="13">
        <f t="shared" si="567"/>
        <v>0</v>
      </c>
    </row>
    <row r="2002" spans="2:20" x14ac:dyDescent="0.25">
      <c r="B2002" s="97">
        <f t="shared" si="552"/>
        <v>139</v>
      </c>
      <c r="C2002" s="12"/>
      <c r="D2002" s="12"/>
      <c r="E2002" s="12"/>
      <c r="F2002" s="12"/>
      <c r="G2002" s="127"/>
      <c r="H2002" s="12" t="s">
        <v>858</v>
      </c>
      <c r="I2002" s="13"/>
      <c r="J2002" s="13"/>
      <c r="K2002" s="13"/>
      <c r="L2002" s="13"/>
      <c r="M2002" s="13"/>
      <c r="N2002" s="13">
        <f>80000-9000</f>
        <v>71000</v>
      </c>
      <c r="O2002" s="13"/>
      <c r="P2002" s="13"/>
      <c r="Q2002" s="13"/>
      <c r="R2002" s="13"/>
      <c r="T2002" s="13">
        <f t="shared" si="567"/>
        <v>71000</v>
      </c>
    </row>
    <row r="2003" spans="2:20" x14ac:dyDescent="0.25">
      <c r="B2003" s="97">
        <f t="shared" si="552"/>
        <v>140</v>
      </c>
      <c r="C2003" s="49"/>
      <c r="D2003" s="49"/>
      <c r="E2003" s="49">
        <v>2</v>
      </c>
      <c r="F2003" s="49"/>
      <c r="G2003" s="123"/>
      <c r="H2003" s="49" t="s">
        <v>59</v>
      </c>
      <c r="I2003" s="50">
        <f>I2005+I2006+I2007+I2017</f>
        <v>57019</v>
      </c>
      <c r="J2003" s="50">
        <f t="shared" ref="J2003:M2003" si="570">J2005+J2006+J2007+J2017</f>
        <v>20000</v>
      </c>
      <c r="K2003" s="50">
        <f t="shared" si="570"/>
        <v>45300</v>
      </c>
      <c r="L2003" s="50">
        <f t="shared" si="570"/>
        <v>44678</v>
      </c>
      <c r="M2003" s="50">
        <f t="shared" si="570"/>
        <v>51259</v>
      </c>
      <c r="N2003" s="50">
        <f>N2018</f>
        <v>29600</v>
      </c>
      <c r="O2003" s="50">
        <f t="shared" ref="O2003:R2003" si="571">O2004</f>
        <v>0</v>
      </c>
      <c r="P2003" s="50">
        <f t="shared" si="571"/>
        <v>0</v>
      </c>
      <c r="Q2003" s="50">
        <f t="shared" si="571"/>
        <v>0</v>
      </c>
      <c r="R2003" s="50">
        <f t="shared" si="571"/>
        <v>0</v>
      </c>
      <c r="T2003" s="50">
        <f t="shared" si="567"/>
        <v>86619</v>
      </c>
    </row>
    <row r="2004" spans="2:20" hidden="1" x14ac:dyDescent="0.25">
      <c r="B2004" s="97">
        <f t="shared" si="552"/>
        <v>141</v>
      </c>
      <c r="C2004" s="51"/>
      <c r="D2004" s="51"/>
      <c r="E2004" s="51" t="s">
        <v>60</v>
      </c>
      <c r="F2004" s="51"/>
      <c r="G2004" s="124"/>
      <c r="H2004" s="51" t="s">
        <v>89</v>
      </c>
      <c r="I2004" s="52" t="e">
        <f>#REF!+#REF!</f>
        <v>#REF!</v>
      </c>
      <c r="J2004" s="52">
        <f>J2017+J2007+J2006+J2005</f>
        <v>20000</v>
      </c>
      <c r="K2004" s="52">
        <f>K2017+K2007+K2006+K2005</f>
        <v>45300</v>
      </c>
      <c r="L2004" s="52">
        <f>L2017+L2007+L2006+L2005</f>
        <v>44678</v>
      </c>
      <c r="M2004" s="52">
        <f>M2017+M2007+M2006+M2005</f>
        <v>51259</v>
      </c>
      <c r="N2004" s="52"/>
      <c r="O2004" s="52">
        <f>O2017+O2007+O2006+O2005</f>
        <v>0</v>
      </c>
      <c r="P2004" s="52">
        <f>P2017+P2007+P2006+P2005</f>
        <v>0</v>
      </c>
      <c r="Q2004" s="52">
        <f>Q2017+Q2007+Q2006+Q2005</f>
        <v>0</v>
      </c>
      <c r="R2004" s="52">
        <f>R2017+R2007+R2006+R2005</f>
        <v>0</v>
      </c>
      <c r="T2004" s="52" t="e">
        <f t="shared" si="567"/>
        <v>#REF!</v>
      </c>
    </row>
    <row r="2005" spans="2:20" x14ac:dyDescent="0.25">
      <c r="B2005" s="97">
        <f t="shared" si="552"/>
        <v>142</v>
      </c>
      <c r="C2005" s="29"/>
      <c r="D2005" s="29"/>
      <c r="E2005" s="29"/>
      <c r="F2005" s="53" t="s">
        <v>574</v>
      </c>
      <c r="G2005" s="125">
        <v>610</v>
      </c>
      <c r="H2005" s="29" t="s">
        <v>338</v>
      </c>
      <c r="I2005" s="15">
        <f>19350+2000</f>
        <v>21350</v>
      </c>
      <c r="J2005" s="15">
        <v>7000</v>
      </c>
      <c r="K2005" s="15">
        <v>7000</v>
      </c>
      <c r="L2005" s="15">
        <v>6935</v>
      </c>
      <c r="M2005" s="15">
        <v>6996</v>
      </c>
      <c r="N2005" s="15"/>
      <c r="O2005" s="15"/>
      <c r="P2005" s="15"/>
      <c r="Q2005" s="15"/>
      <c r="R2005" s="15"/>
      <c r="T2005" s="15">
        <f t="shared" si="567"/>
        <v>21350</v>
      </c>
    </row>
    <row r="2006" spans="2:20" x14ac:dyDescent="0.25">
      <c r="B2006" s="97">
        <f t="shared" si="552"/>
        <v>143</v>
      </c>
      <c r="C2006" s="29"/>
      <c r="D2006" s="29"/>
      <c r="E2006" s="29"/>
      <c r="F2006" s="53" t="s">
        <v>574</v>
      </c>
      <c r="G2006" s="125">
        <v>620</v>
      </c>
      <c r="H2006" s="29" t="s">
        <v>313</v>
      </c>
      <c r="I2006" s="15">
        <f>7215+704</f>
        <v>7919</v>
      </c>
      <c r="J2006" s="15">
        <v>2930</v>
      </c>
      <c r="K2006" s="15">
        <v>2930</v>
      </c>
      <c r="L2006" s="15">
        <v>2775</v>
      </c>
      <c r="M2006" s="15">
        <v>2799</v>
      </c>
      <c r="N2006" s="15"/>
      <c r="O2006" s="15"/>
      <c r="P2006" s="15"/>
      <c r="Q2006" s="15"/>
      <c r="R2006" s="15"/>
      <c r="T2006" s="15">
        <f t="shared" si="567"/>
        <v>7919</v>
      </c>
    </row>
    <row r="2007" spans="2:20" x14ac:dyDescent="0.25">
      <c r="B2007" s="97">
        <f t="shared" si="552"/>
        <v>144</v>
      </c>
      <c r="C2007" s="29"/>
      <c r="D2007" s="29"/>
      <c r="E2007" s="29"/>
      <c r="F2007" s="53" t="s">
        <v>574</v>
      </c>
      <c r="G2007" s="125">
        <v>630</v>
      </c>
      <c r="H2007" s="29" t="s">
        <v>303</v>
      </c>
      <c r="I2007" s="15">
        <f>SUM(I2008:I2016)</f>
        <v>27650</v>
      </c>
      <c r="J2007" s="15">
        <f t="shared" ref="J2007:M2007" si="572">SUM(J2008:J2015)</f>
        <v>10070</v>
      </c>
      <c r="K2007" s="15">
        <f t="shared" si="572"/>
        <v>35370</v>
      </c>
      <c r="L2007" s="15">
        <f t="shared" si="572"/>
        <v>34968</v>
      </c>
      <c r="M2007" s="15">
        <f t="shared" si="572"/>
        <v>41464</v>
      </c>
      <c r="N2007" s="15"/>
      <c r="O2007" s="15"/>
      <c r="P2007" s="15"/>
      <c r="Q2007" s="15"/>
      <c r="R2007" s="15"/>
      <c r="T2007" s="15">
        <f t="shared" si="567"/>
        <v>27650</v>
      </c>
    </row>
    <row r="2008" spans="2:20" x14ac:dyDescent="0.25">
      <c r="B2008" s="97">
        <f t="shared" si="552"/>
        <v>145</v>
      </c>
      <c r="C2008" s="9"/>
      <c r="D2008" s="9"/>
      <c r="E2008" s="9"/>
      <c r="F2008" s="54" t="s">
        <v>574</v>
      </c>
      <c r="G2008" s="126">
        <v>633</v>
      </c>
      <c r="H2008" s="9" t="s">
        <v>305</v>
      </c>
      <c r="I2008" s="10">
        <v>8900</v>
      </c>
      <c r="J2008" s="10">
        <v>7050</v>
      </c>
      <c r="K2008" s="10">
        <f>21550-1900-700</f>
        <v>18950</v>
      </c>
      <c r="L2008" s="10">
        <v>25139</v>
      </c>
      <c r="M2008" s="10">
        <v>36274</v>
      </c>
      <c r="N2008" s="10"/>
      <c r="O2008" s="10"/>
      <c r="P2008" s="10"/>
      <c r="Q2008" s="10"/>
      <c r="R2008" s="10"/>
      <c r="T2008" s="10">
        <f t="shared" si="567"/>
        <v>8900</v>
      </c>
    </row>
    <row r="2009" spans="2:20" x14ac:dyDescent="0.25">
      <c r="B2009" s="97">
        <f t="shared" ref="B2009:B2011" si="573">B2008+1</f>
        <v>146</v>
      </c>
      <c r="C2009" s="9"/>
      <c r="D2009" s="9"/>
      <c r="E2009" s="9"/>
      <c r="F2009" s="54" t="s">
        <v>574</v>
      </c>
      <c r="G2009" s="126">
        <v>633</v>
      </c>
      <c r="H2009" s="9" t="s">
        <v>947</v>
      </c>
      <c r="I2009" s="10">
        <v>1000</v>
      </c>
      <c r="J2009" s="10"/>
      <c r="K2009" s="10"/>
      <c r="L2009" s="10"/>
      <c r="M2009" s="10"/>
      <c r="N2009" s="10"/>
      <c r="O2009" s="10"/>
      <c r="P2009" s="10"/>
      <c r="Q2009" s="10"/>
      <c r="R2009" s="10"/>
      <c r="T2009" s="10"/>
    </row>
    <row r="2010" spans="2:20" x14ac:dyDescent="0.25">
      <c r="B2010" s="97">
        <f t="shared" si="573"/>
        <v>147</v>
      </c>
      <c r="C2010" s="9"/>
      <c r="D2010" s="9"/>
      <c r="E2010" s="9"/>
      <c r="F2010" s="54" t="s">
        <v>574</v>
      </c>
      <c r="G2010" s="126">
        <v>634</v>
      </c>
      <c r="H2010" s="9" t="s">
        <v>306</v>
      </c>
      <c r="I2010" s="10">
        <v>1000</v>
      </c>
      <c r="J2010" s="10">
        <v>900</v>
      </c>
      <c r="K2010" s="10">
        <v>900</v>
      </c>
      <c r="L2010" s="10">
        <v>861</v>
      </c>
      <c r="M2010" s="10">
        <v>721</v>
      </c>
      <c r="N2010" s="10"/>
      <c r="O2010" s="10"/>
      <c r="P2010" s="10"/>
      <c r="Q2010" s="10"/>
      <c r="R2010" s="10"/>
      <c r="T2010" s="10">
        <f t="shared" si="567"/>
        <v>1000</v>
      </c>
    </row>
    <row r="2011" spans="2:20" x14ac:dyDescent="0.25">
      <c r="B2011" s="97">
        <f t="shared" si="573"/>
        <v>148</v>
      </c>
      <c r="C2011" s="9"/>
      <c r="D2011" s="9"/>
      <c r="E2011" s="9"/>
      <c r="F2011" s="54" t="s">
        <v>574</v>
      </c>
      <c r="G2011" s="126">
        <v>635</v>
      </c>
      <c r="H2011" s="9" t="s">
        <v>320</v>
      </c>
      <c r="I2011" s="10">
        <v>700</v>
      </c>
      <c r="J2011" s="10">
        <v>650</v>
      </c>
      <c r="K2011" s="10">
        <v>14050</v>
      </c>
      <c r="L2011" s="10">
        <v>7512</v>
      </c>
      <c r="M2011" s="10">
        <v>3120</v>
      </c>
      <c r="N2011" s="10"/>
      <c r="O2011" s="10"/>
      <c r="P2011" s="10"/>
      <c r="Q2011" s="10"/>
      <c r="R2011" s="10"/>
      <c r="T2011" s="10">
        <f t="shared" si="567"/>
        <v>700</v>
      </c>
    </row>
    <row r="2012" spans="2:20" x14ac:dyDescent="0.25">
      <c r="B2012" s="97">
        <f t="shared" ref="B2011:B2012" si="574">B2011+1</f>
        <v>149</v>
      </c>
      <c r="C2012" s="9"/>
      <c r="D2012" s="9"/>
      <c r="E2012" s="9"/>
      <c r="F2012" s="54" t="s">
        <v>574</v>
      </c>
      <c r="G2012" s="126">
        <v>635</v>
      </c>
      <c r="H2012" s="158" t="s">
        <v>815</v>
      </c>
      <c r="I2012" s="10">
        <v>4900</v>
      </c>
      <c r="J2012" s="10"/>
      <c r="K2012" s="10"/>
      <c r="L2012" s="10"/>
      <c r="M2012" s="10"/>
      <c r="N2012" s="10"/>
      <c r="O2012" s="10"/>
      <c r="P2012" s="10"/>
      <c r="Q2012" s="10"/>
      <c r="R2012" s="10"/>
      <c r="T2012" s="10">
        <f t="shared" si="567"/>
        <v>4900</v>
      </c>
    </row>
    <row r="2013" spans="2:20" x14ac:dyDescent="0.25">
      <c r="B2013" s="97">
        <f t="shared" ref="B2013:B2020" si="575">B2012+1</f>
        <v>150</v>
      </c>
      <c r="C2013" s="9"/>
      <c r="D2013" s="9"/>
      <c r="E2013" s="9"/>
      <c r="F2013" s="54" t="s">
        <v>574</v>
      </c>
      <c r="G2013" s="126">
        <v>635</v>
      </c>
      <c r="H2013" s="158" t="s">
        <v>816</v>
      </c>
      <c r="I2013" s="10">
        <v>7000</v>
      </c>
      <c r="J2013" s="10"/>
      <c r="K2013" s="10"/>
      <c r="L2013" s="10"/>
      <c r="M2013" s="10"/>
      <c r="N2013" s="10"/>
      <c r="O2013" s="10"/>
      <c r="P2013" s="10"/>
      <c r="Q2013" s="10"/>
      <c r="R2013" s="10"/>
      <c r="T2013" s="10">
        <f t="shared" si="567"/>
        <v>7000</v>
      </c>
    </row>
    <row r="2014" spans="2:20" x14ac:dyDescent="0.25">
      <c r="B2014" s="97">
        <f t="shared" si="575"/>
        <v>151</v>
      </c>
      <c r="C2014" s="9"/>
      <c r="D2014" s="9"/>
      <c r="E2014" s="9"/>
      <c r="F2014" s="54" t="s">
        <v>574</v>
      </c>
      <c r="G2014" s="126">
        <v>636</v>
      </c>
      <c r="H2014" s="158" t="s">
        <v>307</v>
      </c>
      <c r="I2014" s="10">
        <v>300</v>
      </c>
      <c r="J2014" s="10">
        <v>50</v>
      </c>
      <c r="K2014" s="10">
        <v>50</v>
      </c>
      <c r="L2014" s="10">
        <v>30</v>
      </c>
      <c r="M2014" s="10">
        <v>0</v>
      </c>
      <c r="N2014" s="10"/>
      <c r="O2014" s="10"/>
      <c r="P2014" s="10"/>
      <c r="Q2014" s="10"/>
      <c r="R2014" s="10"/>
      <c r="T2014" s="10">
        <f t="shared" si="567"/>
        <v>300</v>
      </c>
    </row>
    <row r="2015" spans="2:20" x14ac:dyDescent="0.25">
      <c r="B2015" s="97">
        <f t="shared" si="575"/>
        <v>152</v>
      </c>
      <c r="C2015" s="9"/>
      <c r="D2015" s="9"/>
      <c r="E2015" s="9"/>
      <c r="F2015" s="54" t="s">
        <v>574</v>
      </c>
      <c r="G2015" s="126">
        <v>637</v>
      </c>
      <c r="H2015" s="158" t="s">
        <v>308</v>
      </c>
      <c r="I2015" s="10">
        <v>2350</v>
      </c>
      <c r="J2015" s="10">
        <v>1420</v>
      </c>
      <c r="K2015" s="10">
        <v>1420</v>
      </c>
      <c r="L2015" s="10">
        <v>1426</v>
      </c>
      <c r="M2015" s="10">
        <v>1349</v>
      </c>
      <c r="N2015" s="10"/>
      <c r="O2015" s="10"/>
      <c r="P2015" s="10"/>
      <c r="Q2015" s="10"/>
      <c r="R2015" s="10"/>
      <c r="T2015" s="10">
        <f t="shared" si="567"/>
        <v>2350</v>
      </c>
    </row>
    <row r="2016" spans="2:20" x14ac:dyDescent="0.25">
      <c r="B2016" s="97">
        <f t="shared" si="575"/>
        <v>153</v>
      </c>
      <c r="C2016" s="9"/>
      <c r="D2016" s="9"/>
      <c r="E2016" s="9"/>
      <c r="F2016" s="54" t="s">
        <v>574</v>
      </c>
      <c r="G2016" s="126">
        <v>637</v>
      </c>
      <c r="H2016" s="158" t="s">
        <v>817</v>
      </c>
      <c r="I2016" s="10">
        <v>1500</v>
      </c>
      <c r="J2016" s="10"/>
      <c r="K2016" s="10"/>
      <c r="L2016" s="10"/>
      <c r="M2016" s="10"/>
      <c r="N2016" s="10"/>
      <c r="O2016" s="10"/>
      <c r="P2016" s="10"/>
      <c r="Q2016" s="10"/>
      <c r="R2016" s="10"/>
      <c r="T2016" s="10">
        <f t="shared" si="567"/>
        <v>1500</v>
      </c>
    </row>
    <row r="2017" spans="2:20" x14ac:dyDescent="0.25">
      <c r="B2017" s="97">
        <f t="shared" si="575"/>
        <v>154</v>
      </c>
      <c r="C2017" s="29"/>
      <c r="D2017" s="29"/>
      <c r="E2017" s="29"/>
      <c r="F2017" s="53" t="s">
        <v>574</v>
      </c>
      <c r="G2017" s="125">
        <v>640</v>
      </c>
      <c r="H2017" s="160" t="s">
        <v>315</v>
      </c>
      <c r="I2017" s="15">
        <v>100</v>
      </c>
      <c r="J2017" s="15">
        <v>0</v>
      </c>
      <c r="K2017" s="15"/>
      <c r="L2017" s="15"/>
      <c r="M2017" s="15">
        <v>0</v>
      </c>
      <c r="N2017" s="15"/>
      <c r="O2017" s="15"/>
      <c r="P2017" s="15"/>
      <c r="Q2017" s="15"/>
      <c r="R2017" s="15"/>
      <c r="T2017" s="15">
        <f t="shared" si="567"/>
        <v>100</v>
      </c>
    </row>
    <row r="2018" spans="2:20" x14ac:dyDescent="0.25">
      <c r="B2018" s="97">
        <f t="shared" si="575"/>
        <v>155</v>
      </c>
      <c r="C2018" s="29"/>
      <c r="D2018" s="29"/>
      <c r="E2018" s="29"/>
      <c r="F2018" s="53" t="s">
        <v>574</v>
      </c>
      <c r="G2018" s="125">
        <v>710</v>
      </c>
      <c r="H2018" s="160" t="s">
        <v>321</v>
      </c>
      <c r="I2018" s="15"/>
      <c r="J2018" s="15"/>
      <c r="K2018" s="15"/>
      <c r="L2018" s="15"/>
      <c r="M2018" s="15"/>
      <c r="N2018" s="15">
        <f>N2019</f>
        <v>29600</v>
      </c>
      <c r="O2018" s="15"/>
      <c r="P2018" s="15"/>
      <c r="Q2018" s="15"/>
      <c r="R2018" s="15"/>
      <c r="T2018" s="15">
        <f t="shared" si="567"/>
        <v>29600</v>
      </c>
    </row>
    <row r="2019" spans="2:20" x14ac:dyDescent="0.25">
      <c r="B2019" s="97">
        <f t="shared" si="575"/>
        <v>156</v>
      </c>
      <c r="C2019" s="9"/>
      <c r="D2019" s="9"/>
      <c r="E2019" s="9"/>
      <c r="F2019" s="54" t="s">
        <v>574</v>
      </c>
      <c r="G2019" s="126">
        <v>717</v>
      </c>
      <c r="H2019" s="158" t="s">
        <v>327</v>
      </c>
      <c r="I2019" s="10"/>
      <c r="J2019" s="10"/>
      <c r="K2019" s="10"/>
      <c r="L2019" s="10"/>
      <c r="M2019" s="10"/>
      <c r="N2019" s="10">
        <f>N2020</f>
        <v>29600</v>
      </c>
      <c r="O2019" s="10"/>
      <c r="P2019" s="10"/>
      <c r="Q2019" s="10"/>
      <c r="R2019" s="10"/>
      <c r="T2019" s="10">
        <f t="shared" si="567"/>
        <v>29600</v>
      </c>
    </row>
    <row r="2020" spans="2:20" x14ac:dyDescent="0.25">
      <c r="B2020" s="97">
        <f t="shared" si="575"/>
        <v>157</v>
      </c>
      <c r="C2020" s="12"/>
      <c r="D2020" s="12"/>
      <c r="E2020" s="12"/>
      <c r="F2020" s="12"/>
      <c r="G2020" s="127"/>
      <c r="H2020" s="91" t="s">
        <v>813</v>
      </c>
      <c r="I2020" s="13"/>
      <c r="J2020" s="13"/>
      <c r="K2020" s="13"/>
      <c r="L2020" s="13"/>
      <c r="M2020" s="13"/>
      <c r="N2020" s="13">
        <v>29600</v>
      </c>
      <c r="O2020" s="13"/>
      <c r="P2020" s="13"/>
      <c r="Q2020" s="13"/>
      <c r="R2020" s="13"/>
      <c r="T2020" s="13">
        <f t="shared" si="567"/>
        <v>29600</v>
      </c>
    </row>
    <row r="2021" spans="2:20" x14ac:dyDescent="0.25">
      <c r="B2021" s="148"/>
      <c r="C2021" s="94"/>
      <c r="D2021" s="94"/>
      <c r="E2021" s="94"/>
      <c r="F2021" s="149"/>
      <c r="G2021" s="150"/>
      <c r="H2021" s="94"/>
      <c r="I2021" s="151"/>
      <c r="J2021" s="151"/>
      <c r="K2021" s="151"/>
      <c r="L2021" s="151"/>
      <c r="M2021" s="151"/>
      <c r="N2021" s="151"/>
      <c r="O2021" s="151"/>
      <c r="P2021" s="151"/>
      <c r="Q2021" s="151"/>
      <c r="R2021" s="151"/>
    </row>
    <row r="2022" spans="2:20" x14ac:dyDescent="0.25">
      <c r="B2022" s="148"/>
      <c r="C2022" s="94"/>
      <c r="D2022" s="94"/>
      <c r="E2022" s="94"/>
      <c r="F2022" s="149"/>
      <c r="G2022" s="150"/>
      <c r="H2022" s="94"/>
      <c r="I2022" s="151"/>
      <c r="J2022" s="151"/>
      <c r="K2022" s="151"/>
      <c r="L2022" s="151"/>
      <c r="M2022" s="151"/>
      <c r="N2022" s="151"/>
      <c r="O2022" s="151"/>
      <c r="P2022" s="151"/>
      <c r="Q2022" s="151"/>
      <c r="R2022" s="151"/>
    </row>
    <row r="2023" spans="2:20" x14ac:dyDescent="0.25">
      <c r="B2023" s="148"/>
      <c r="C2023" s="94"/>
      <c r="D2023" s="94"/>
      <c r="E2023" s="94"/>
      <c r="F2023" s="149"/>
      <c r="G2023" s="150"/>
      <c r="H2023" s="94"/>
      <c r="I2023" s="151"/>
      <c r="J2023" s="151"/>
      <c r="K2023" s="151"/>
      <c r="L2023" s="151"/>
      <c r="M2023" s="151"/>
      <c r="N2023" s="151"/>
      <c r="O2023" s="151"/>
      <c r="P2023" s="151"/>
      <c r="Q2023" s="151"/>
      <c r="R2023" s="151"/>
    </row>
    <row r="2024" spans="2:20" x14ac:dyDescent="0.25">
      <c r="B2024" s="148"/>
      <c r="C2024" s="94"/>
      <c r="D2024" s="94"/>
      <c r="E2024" s="94"/>
      <c r="F2024" s="149"/>
      <c r="G2024" s="150"/>
      <c r="H2024" s="94"/>
      <c r="I2024" s="151"/>
      <c r="J2024" s="151"/>
      <c r="K2024" s="151"/>
      <c r="L2024" s="151"/>
      <c r="M2024" s="151"/>
      <c r="N2024" s="151"/>
      <c r="O2024" s="151"/>
      <c r="P2024" s="151"/>
      <c r="Q2024" s="151"/>
      <c r="R2024" s="151"/>
    </row>
    <row r="2025" spans="2:20" x14ac:dyDescent="0.25">
      <c r="B2025" s="148"/>
      <c r="C2025" s="94"/>
      <c r="D2025" s="94"/>
      <c r="E2025" s="94"/>
      <c r="F2025" s="149"/>
      <c r="G2025" s="150"/>
      <c r="H2025" s="94"/>
      <c r="I2025" s="151"/>
      <c r="J2025" s="151"/>
      <c r="K2025" s="151"/>
      <c r="L2025" s="151"/>
      <c r="M2025" s="151"/>
      <c r="N2025" s="151"/>
      <c r="O2025" s="151"/>
      <c r="P2025" s="151"/>
      <c r="Q2025" s="151"/>
      <c r="R2025" s="151"/>
    </row>
    <row r="2026" spans="2:20" x14ac:dyDescent="0.25">
      <c r="B2026" s="148"/>
      <c r="C2026" s="94"/>
      <c r="D2026" s="94"/>
      <c r="E2026" s="94"/>
      <c r="F2026" s="149"/>
      <c r="G2026" s="150"/>
      <c r="H2026" s="94"/>
      <c r="I2026" s="151"/>
      <c r="J2026" s="151"/>
      <c r="K2026" s="151"/>
      <c r="L2026" s="151"/>
      <c r="M2026" s="151"/>
      <c r="N2026" s="151"/>
      <c r="O2026" s="151"/>
      <c r="P2026" s="151"/>
      <c r="Q2026" s="151"/>
      <c r="R2026" s="151"/>
    </row>
    <row r="2027" spans="2:20" x14ac:dyDescent="0.25">
      <c r="B2027" s="148"/>
      <c r="C2027" s="94"/>
      <c r="D2027" s="94"/>
      <c r="E2027" s="94"/>
      <c r="F2027" s="149"/>
      <c r="G2027" s="150"/>
      <c r="H2027" s="94"/>
      <c r="I2027" s="151"/>
      <c r="J2027" s="151"/>
      <c r="K2027" s="151"/>
      <c r="L2027" s="151"/>
      <c r="M2027" s="151"/>
      <c r="N2027" s="151"/>
      <c r="O2027" s="151"/>
      <c r="P2027" s="151"/>
      <c r="Q2027" s="151"/>
      <c r="R2027" s="151"/>
    </row>
    <row r="2028" spans="2:20" x14ac:dyDescent="0.25">
      <c r="B2028" s="148"/>
      <c r="C2028" s="94"/>
      <c r="D2028" s="94"/>
      <c r="E2028" s="94"/>
      <c r="F2028" s="149"/>
      <c r="G2028" s="150"/>
      <c r="H2028" s="94"/>
      <c r="I2028" s="151"/>
      <c r="J2028" s="151"/>
      <c r="K2028" s="151"/>
      <c r="L2028" s="151"/>
      <c r="M2028" s="151"/>
      <c r="N2028" s="151"/>
      <c r="O2028" s="151"/>
      <c r="P2028" s="151"/>
      <c r="Q2028" s="151"/>
      <c r="R2028" s="151"/>
    </row>
    <row r="2029" spans="2:20" x14ac:dyDescent="0.25">
      <c r="B2029" s="148"/>
      <c r="C2029" s="94"/>
      <c r="D2029" s="94"/>
      <c r="E2029" s="94"/>
      <c r="F2029" s="149"/>
      <c r="G2029" s="150"/>
      <c r="H2029" s="94"/>
      <c r="I2029" s="151"/>
      <c r="J2029" s="151"/>
      <c r="K2029" s="151"/>
      <c r="L2029" s="151"/>
      <c r="M2029" s="151"/>
      <c r="N2029" s="151"/>
      <c r="O2029" s="151"/>
      <c r="P2029" s="151"/>
      <c r="Q2029" s="151"/>
      <c r="R2029" s="151"/>
    </row>
    <row r="2030" spans="2:20" x14ac:dyDescent="0.25">
      <c r="B2030" s="148"/>
      <c r="C2030" s="94"/>
      <c r="D2030" s="94"/>
      <c r="E2030" s="94"/>
      <c r="F2030" s="149"/>
      <c r="G2030" s="150"/>
      <c r="H2030" s="94"/>
      <c r="I2030" s="151"/>
      <c r="J2030" s="151"/>
      <c r="K2030" s="151"/>
      <c r="L2030" s="151"/>
      <c r="M2030" s="151"/>
      <c r="N2030" s="151"/>
      <c r="O2030" s="151"/>
      <c r="P2030" s="151"/>
      <c r="Q2030" s="151"/>
      <c r="R2030" s="151"/>
    </row>
    <row r="2031" spans="2:20" x14ac:dyDescent="0.25">
      <c r="B2031" s="148"/>
      <c r="C2031" s="94"/>
      <c r="D2031" s="94"/>
      <c r="E2031" s="94"/>
      <c r="F2031" s="149"/>
      <c r="G2031" s="150"/>
      <c r="H2031" s="94"/>
      <c r="I2031" s="151"/>
      <c r="J2031" s="151"/>
      <c r="K2031" s="151"/>
      <c r="L2031" s="151"/>
      <c r="M2031" s="151"/>
      <c r="N2031" s="151"/>
      <c r="O2031" s="151"/>
      <c r="P2031" s="151"/>
      <c r="Q2031" s="151"/>
      <c r="R2031" s="151"/>
    </row>
    <row r="2032" spans="2:20" x14ac:dyDescent="0.25">
      <c r="B2032" s="148"/>
      <c r="C2032" s="94"/>
      <c r="D2032" s="94"/>
      <c r="E2032" s="94"/>
      <c r="F2032" s="149"/>
      <c r="G2032" s="150"/>
      <c r="H2032" s="94"/>
      <c r="I2032" s="151"/>
      <c r="J2032" s="151"/>
      <c r="K2032" s="151"/>
      <c r="L2032" s="151"/>
      <c r="M2032" s="151"/>
      <c r="N2032" s="151"/>
      <c r="O2032" s="151"/>
      <c r="P2032" s="151"/>
      <c r="Q2032" s="151"/>
      <c r="R2032" s="151"/>
    </row>
    <row r="2033" spans="2:20" x14ac:dyDescent="0.25">
      <c r="B2033" s="148"/>
      <c r="C2033" s="94"/>
      <c r="D2033" s="94"/>
      <c r="E2033" s="94"/>
      <c r="F2033" s="149"/>
      <c r="G2033" s="150"/>
      <c r="H2033" s="94"/>
      <c r="I2033" s="151"/>
      <c r="J2033" s="151"/>
      <c r="K2033" s="151"/>
      <c r="L2033" s="151"/>
      <c r="M2033" s="151"/>
      <c r="N2033" s="151"/>
      <c r="O2033" s="151"/>
      <c r="P2033" s="151"/>
      <c r="Q2033" s="151"/>
      <c r="R2033" s="151"/>
    </row>
    <row r="2034" spans="2:20" x14ac:dyDescent="0.25">
      <c r="B2034" s="148"/>
      <c r="C2034" s="94"/>
      <c r="D2034" s="94"/>
      <c r="E2034" s="94"/>
      <c r="F2034" s="149"/>
      <c r="G2034" s="150"/>
      <c r="H2034" s="94"/>
      <c r="I2034" s="151"/>
      <c r="J2034" s="151"/>
      <c r="K2034" s="151"/>
      <c r="L2034" s="151"/>
      <c r="M2034" s="151"/>
      <c r="N2034" s="151"/>
      <c r="O2034" s="151"/>
      <c r="P2034" s="151"/>
      <c r="Q2034" s="151"/>
      <c r="R2034" s="151"/>
    </row>
    <row r="2035" spans="2:20" x14ac:dyDescent="0.25">
      <c r="B2035" s="148"/>
      <c r="C2035" s="94"/>
      <c r="D2035" s="94"/>
      <c r="E2035" s="94"/>
      <c r="F2035" s="149"/>
      <c r="G2035" s="150"/>
      <c r="H2035" s="94"/>
      <c r="I2035" s="151"/>
      <c r="J2035" s="151"/>
      <c r="K2035" s="151"/>
      <c r="L2035" s="151"/>
      <c r="M2035" s="151"/>
      <c r="N2035" s="151"/>
      <c r="O2035" s="151"/>
      <c r="P2035" s="151"/>
      <c r="Q2035" s="151"/>
      <c r="R2035" s="151"/>
    </row>
    <row r="2036" spans="2:20" x14ac:dyDescent="0.25">
      <c r="B2036" s="148"/>
      <c r="C2036" s="94"/>
      <c r="D2036" s="94"/>
      <c r="E2036" s="94"/>
      <c r="F2036" s="149"/>
      <c r="G2036" s="150"/>
      <c r="H2036" s="94"/>
      <c r="I2036" s="151"/>
      <c r="J2036" s="151"/>
      <c r="K2036" s="151"/>
      <c r="L2036" s="151"/>
      <c r="M2036" s="151"/>
      <c r="N2036" s="151"/>
      <c r="O2036" s="151"/>
      <c r="P2036" s="151"/>
      <c r="Q2036" s="151"/>
      <c r="R2036" s="151"/>
    </row>
    <row r="2037" spans="2:20" x14ac:dyDescent="0.25">
      <c r="B2037" s="148"/>
      <c r="C2037" s="94"/>
      <c r="D2037" s="94"/>
      <c r="E2037" s="94"/>
      <c r="F2037" s="149"/>
      <c r="G2037" s="150"/>
      <c r="H2037" s="94"/>
      <c r="I2037" s="151"/>
      <c r="J2037" s="151"/>
      <c r="K2037" s="151"/>
      <c r="L2037" s="151"/>
      <c r="M2037" s="151"/>
      <c r="N2037" s="151"/>
      <c r="O2037" s="151"/>
      <c r="P2037" s="151"/>
      <c r="Q2037" s="151"/>
      <c r="R2037" s="151"/>
    </row>
    <row r="2038" spans="2:20" x14ac:dyDescent="0.25">
      <c r="B2038" s="148"/>
      <c r="C2038" s="94"/>
      <c r="D2038" s="94"/>
      <c r="E2038" s="94"/>
      <c r="F2038" s="149"/>
      <c r="G2038" s="150"/>
      <c r="H2038" s="94"/>
      <c r="I2038" s="151"/>
      <c r="J2038" s="151"/>
      <c r="K2038" s="151"/>
      <c r="L2038" s="151"/>
      <c r="M2038" s="151"/>
      <c r="N2038" s="151"/>
      <c r="O2038" s="151"/>
      <c r="P2038" s="151"/>
      <c r="Q2038" s="151"/>
      <c r="R2038" s="151"/>
    </row>
    <row r="2039" spans="2:20" x14ac:dyDescent="0.25">
      <c r="B2039" s="148"/>
      <c r="C2039" s="94"/>
      <c r="D2039" s="94"/>
      <c r="E2039" s="94"/>
      <c r="F2039" s="149"/>
      <c r="G2039" s="150"/>
      <c r="H2039" s="94"/>
      <c r="I2039" s="151"/>
      <c r="J2039" s="151"/>
      <c r="K2039" s="151"/>
      <c r="L2039" s="151"/>
      <c r="M2039" s="151"/>
      <c r="N2039" s="151"/>
      <c r="O2039" s="151"/>
      <c r="P2039" s="151"/>
      <c r="Q2039" s="151"/>
      <c r="R2039" s="151"/>
    </row>
    <row r="2040" spans="2:20" x14ac:dyDescent="0.25">
      <c r="B2040" s="148"/>
      <c r="C2040" s="94"/>
      <c r="D2040" s="94"/>
      <c r="E2040" s="94"/>
      <c r="F2040" s="149"/>
      <c r="G2040" s="150"/>
      <c r="H2040" s="94"/>
      <c r="I2040" s="151"/>
      <c r="J2040" s="151"/>
      <c r="K2040" s="151"/>
      <c r="L2040" s="151"/>
      <c r="M2040" s="151"/>
      <c r="N2040" s="151"/>
      <c r="O2040" s="151"/>
      <c r="P2040" s="151"/>
      <c r="Q2040" s="151"/>
      <c r="R2040" s="151"/>
    </row>
    <row r="2042" spans="2:20" ht="27" x14ac:dyDescent="0.35">
      <c r="B2042" s="310" t="s">
        <v>600</v>
      </c>
      <c r="C2042" s="311"/>
      <c r="D2042" s="311"/>
      <c r="E2042" s="311"/>
      <c r="F2042" s="311"/>
      <c r="G2042" s="311"/>
      <c r="H2042" s="311"/>
      <c r="I2042" s="311"/>
      <c r="J2042" s="311"/>
      <c r="K2042" s="311"/>
      <c r="L2042" s="311"/>
      <c r="M2042" s="311"/>
      <c r="N2042" s="311"/>
      <c r="O2042" s="311"/>
      <c r="P2042" s="311"/>
      <c r="Q2042" s="311"/>
      <c r="R2042" s="311"/>
    </row>
    <row r="2043" spans="2:20" ht="15.75" customHeight="1" x14ac:dyDescent="0.25">
      <c r="B2043" s="279" t="s">
        <v>286</v>
      </c>
      <c r="C2043" s="280"/>
      <c r="D2043" s="280"/>
      <c r="E2043" s="280"/>
      <c r="F2043" s="280"/>
      <c r="G2043" s="280"/>
      <c r="H2043" s="280"/>
      <c r="I2043" s="280"/>
      <c r="J2043" s="280"/>
      <c r="K2043" s="280"/>
      <c r="L2043" s="280"/>
      <c r="M2043" s="280"/>
      <c r="N2043" s="280"/>
      <c r="O2043" s="280"/>
      <c r="P2043" s="280"/>
      <c r="Q2043" s="280"/>
      <c r="R2043" s="281"/>
      <c r="T2043" s="314" t="s">
        <v>937</v>
      </c>
    </row>
    <row r="2044" spans="2:20" ht="12.75" customHeight="1" x14ac:dyDescent="0.25">
      <c r="B2044" s="282"/>
      <c r="C2044" s="285" t="s">
        <v>287</v>
      </c>
      <c r="D2044" s="285" t="s">
        <v>288</v>
      </c>
      <c r="E2044" s="285" t="s">
        <v>289</v>
      </c>
      <c r="F2044" s="285" t="s">
        <v>290</v>
      </c>
      <c r="G2044" s="303" t="s">
        <v>291</v>
      </c>
      <c r="H2044" s="305" t="s">
        <v>292</v>
      </c>
      <c r="I2044" s="308" t="s">
        <v>935</v>
      </c>
      <c r="J2044" s="299" t="s">
        <v>293</v>
      </c>
      <c r="K2044" s="299" t="s">
        <v>294</v>
      </c>
      <c r="L2044" s="288" t="s">
        <v>295</v>
      </c>
      <c r="M2044" s="288" t="s">
        <v>296</v>
      </c>
      <c r="N2044" s="301" t="s">
        <v>936</v>
      </c>
      <c r="O2044" s="297" t="s">
        <v>297</v>
      </c>
      <c r="P2044" s="299" t="s">
        <v>772</v>
      </c>
      <c r="Q2044" s="288" t="s">
        <v>298</v>
      </c>
      <c r="R2044" s="288" t="s">
        <v>299</v>
      </c>
      <c r="T2044" s="314"/>
    </row>
    <row r="2045" spans="2:20" x14ac:dyDescent="0.25">
      <c r="B2045" s="283"/>
      <c r="C2045" s="286"/>
      <c r="D2045" s="286"/>
      <c r="E2045" s="286"/>
      <c r="F2045" s="286"/>
      <c r="G2045" s="303"/>
      <c r="H2045" s="306"/>
      <c r="I2045" s="308"/>
      <c r="J2045" s="299"/>
      <c r="K2045" s="299"/>
      <c r="L2045" s="288"/>
      <c r="M2045" s="288"/>
      <c r="N2045" s="301"/>
      <c r="O2045" s="297"/>
      <c r="P2045" s="299"/>
      <c r="Q2045" s="288"/>
      <c r="R2045" s="288"/>
      <c r="T2045" s="314"/>
    </row>
    <row r="2046" spans="2:20" x14ac:dyDescent="0.25">
      <c r="B2046" s="283"/>
      <c r="C2046" s="286"/>
      <c r="D2046" s="286"/>
      <c r="E2046" s="286"/>
      <c r="F2046" s="286"/>
      <c r="G2046" s="303"/>
      <c r="H2046" s="306"/>
      <c r="I2046" s="308"/>
      <c r="J2046" s="299"/>
      <c r="K2046" s="299"/>
      <c r="L2046" s="288"/>
      <c r="M2046" s="288"/>
      <c r="N2046" s="301"/>
      <c r="O2046" s="297"/>
      <c r="P2046" s="299"/>
      <c r="Q2046" s="288"/>
      <c r="R2046" s="288"/>
      <c r="T2046" s="314"/>
    </row>
    <row r="2047" spans="2:20" ht="15.75" thickBot="1" x14ac:dyDescent="0.3">
      <c r="B2047" s="284"/>
      <c r="C2047" s="287"/>
      <c r="D2047" s="287"/>
      <c r="E2047" s="287"/>
      <c r="F2047" s="287"/>
      <c r="G2047" s="304"/>
      <c r="H2047" s="307"/>
      <c r="I2047" s="309"/>
      <c r="J2047" s="300"/>
      <c r="K2047" s="300"/>
      <c r="L2047" s="289"/>
      <c r="M2047" s="289"/>
      <c r="N2047" s="302"/>
      <c r="O2047" s="298"/>
      <c r="P2047" s="300"/>
      <c r="Q2047" s="289"/>
      <c r="R2047" s="289"/>
      <c r="T2047" s="314"/>
    </row>
    <row r="2048" spans="2:20" ht="16.5" thickTop="1" x14ac:dyDescent="0.25">
      <c r="B2048" s="98">
        <v>1</v>
      </c>
      <c r="C2048" s="290" t="s">
        <v>600</v>
      </c>
      <c r="D2048" s="291"/>
      <c r="E2048" s="291"/>
      <c r="F2048" s="291"/>
      <c r="G2048" s="291"/>
      <c r="H2048" s="292"/>
      <c r="I2048" s="44">
        <f>I2049+I2077+I2088+I2116</f>
        <v>403800</v>
      </c>
      <c r="J2048" s="44">
        <f>J2116+J2088+J2077+J2049</f>
        <v>348500</v>
      </c>
      <c r="K2048" s="44">
        <f>K2116+K2088+K2077+K2049</f>
        <v>385750</v>
      </c>
      <c r="L2048" s="44">
        <f>L2116+L2088+L2077+L2049</f>
        <v>289536.68</v>
      </c>
      <c r="M2048" s="44">
        <f>M2116+M2088+M2077+M2049</f>
        <v>309192</v>
      </c>
      <c r="N2048" s="44">
        <f>N2049+N2077+N2088+N2116</f>
        <v>82620</v>
      </c>
      <c r="O2048" s="44">
        <f>O2116+O2088+O2077+O2049</f>
        <v>18320</v>
      </c>
      <c r="P2048" s="44">
        <f>P2116+P2088+P2077+P2049</f>
        <v>28620</v>
      </c>
      <c r="Q2048" s="44">
        <f>Q2116+Q2088+Q2077+Q2049</f>
        <v>21325</v>
      </c>
      <c r="R2048" s="44">
        <f>R2116+R2088+R2077+R2049</f>
        <v>55028</v>
      </c>
      <c r="T2048" s="44">
        <f>I2048+N2048</f>
        <v>486420</v>
      </c>
    </row>
    <row r="2049" spans="2:20" ht="15.75" x14ac:dyDescent="0.25">
      <c r="B2049" s="97">
        <f>B2048+1</f>
        <v>2</v>
      </c>
      <c r="C2049" s="45">
        <v>1</v>
      </c>
      <c r="D2049" s="293" t="s">
        <v>601</v>
      </c>
      <c r="E2049" s="294"/>
      <c r="F2049" s="294"/>
      <c r="G2049" s="294"/>
      <c r="H2049" s="295"/>
      <c r="I2049" s="46">
        <f>I2053</f>
        <v>90000</v>
      </c>
      <c r="J2049" s="46">
        <f t="shared" ref="J2049:M2052" si="576">J2050</f>
        <v>104000</v>
      </c>
      <c r="K2049" s="46">
        <f t="shared" si="576"/>
        <v>118000</v>
      </c>
      <c r="L2049" s="46">
        <f t="shared" si="576"/>
        <v>78500</v>
      </c>
      <c r="M2049" s="46">
        <f t="shared" si="576"/>
        <v>90000</v>
      </c>
      <c r="N2049" s="46">
        <v>0</v>
      </c>
      <c r="O2049" s="46">
        <f t="shared" ref="O2049:R2052" si="577">O2050</f>
        <v>0</v>
      </c>
      <c r="P2049" s="46">
        <f t="shared" si="577"/>
        <v>0</v>
      </c>
      <c r="Q2049" s="46">
        <f t="shared" si="577"/>
        <v>0</v>
      </c>
      <c r="R2049" s="46">
        <f t="shared" si="577"/>
        <v>0</v>
      </c>
      <c r="T2049" s="46">
        <f t="shared" ref="T2049:T2112" si="578">I2049+N2049</f>
        <v>90000</v>
      </c>
    </row>
    <row r="2050" spans="2:20" hidden="1" x14ac:dyDescent="0.25">
      <c r="B2050" s="97">
        <f t="shared" ref="B2050:B2115" si="579">B2049+1</f>
        <v>3</v>
      </c>
      <c r="C2050" s="47"/>
      <c r="D2050" s="47" t="s">
        <v>60</v>
      </c>
      <c r="E2050" s="296"/>
      <c r="F2050" s="294"/>
      <c r="G2050" s="294"/>
      <c r="H2050" s="295"/>
      <c r="I2050" s="48" t="e">
        <f>#REF!+#REF!</f>
        <v>#REF!</v>
      </c>
      <c r="J2050" s="48">
        <f t="shared" si="576"/>
        <v>104000</v>
      </c>
      <c r="K2050" s="48">
        <f t="shared" si="576"/>
        <v>118000</v>
      </c>
      <c r="L2050" s="48">
        <f t="shared" si="576"/>
        <v>78500</v>
      </c>
      <c r="M2050" s="48">
        <f t="shared" si="576"/>
        <v>90000</v>
      </c>
      <c r="N2050" s="48" t="e">
        <f>#REF!+#REF!</f>
        <v>#REF!</v>
      </c>
      <c r="O2050" s="48">
        <f t="shared" si="577"/>
        <v>0</v>
      </c>
      <c r="P2050" s="48">
        <f t="shared" si="577"/>
        <v>0</v>
      </c>
      <c r="Q2050" s="48">
        <f t="shared" si="577"/>
        <v>0</v>
      </c>
      <c r="R2050" s="48">
        <f t="shared" si="577"/>
        <v>0</v>
      </c>
      <c r="T2050" s="48" t="e">
        <f t="shared" si="578"/>
        <v>#REF!</v>
      </c>
    </row>
    <row r="2051" spans="2:20" hidden="1" x14ac:dyDescent="0.25">
      <c r="B2051" s="97">
        <f t="shared" si="579"/>
        <v>4</v>
      </c>
      <c r="C2051" s="49"/>
      <c r="D2051" s="49"/>
      <c r="E2051" s="49"/>
      <c r="F2051" s="49"/>
      <c r="G2051" s="123"/>
      <c r="H2051" s="49" t="s">
        <v>12</v>
      </c>
      <c r="I2051" s="50" t="e">
        <f>#REF!+#REF!</f>
        <v>#REF!</v>
      </c>
      <c r="J2051" s="50">
        <f t="shared" si="576"/>
        <v>104000</v>
      </c>
      <c r="K2051" s="50">
        <f t="shared" si="576"/>
        <v>118000</v>
      </c>
      <c r="L2051" s="50">
        <f t="shared" si="576"/>
        <v>78500</v>
      </c>
      <c r="M2051" s="50">
        <f t="shared" si="576"/>
        <v>90000</v>
      </c>
      <c r="N2051" s="50" t="e">
        <f>#REF!+#REF!</f>
        <v>#REF!</v>
      </c>
      <c r="O2051" s="50">
        <f t="shared" si="577"/>
        <v>0</v>
      </c>
      <c r="P2051" s="50">
        <f t="shared" si="577"/>
        <v>0</v>
      </c>
      <c r="Q2051" s="50">
        <f t="shared" si="577"/>
        <v>0</v>
      </c>
      <c r="R2051" s="50">
        <f t="shared" si="577"/>
        <v>0</v>
      </c>
      <c r="T2051" s="50" t="e">
        <f t="shared" si="578"/>
        <v>#REF!</v>
      </c>
    </row>
    <row r="2052" spans="2:20" hidden="1" x14ac:dyDescent="0.25">
      <c r="B2052" s="97">
        <f t="shared" si="579"/>
        <v>5</v>
      </c>
      <c r="C2052" s="51"/>
      <c r="D2052" s="51"/>
      <c r="E2052" s="51" t="s">
        <v>60</v>
      </c>
      <c r="F2052" s="51"/>
      <c r="G2052" s="124"/>
      <c r="H2052" s="51"/>
      <c r="I2052" s="52" t="e">
        <f>#REF!+#REF!</f>
        <v>#REF!</v>
      </c>
      <c r="J2052" s="52">
        <f t="shared" si="576"/>
        <v>104000</v>
      </c>
      <c r="K2052" s="52">
        <f t="shared" si="576"/>
        <v>118000</v>
      </c>
      <c r="L2052" s="52">
        <f t="shared" si="576"/>
        <v>78500</v>
      </c>
      <c r="M2052" s="52">
        <f t="shared" si="576"/>
        <v>90000</v>
      </c>
      <c r="N2052" s="52" t="e">
        <f>#REF!+#REF!</f>
        <v>#REF!</v>
      </c>
      <c r="O2052" s="52">
        <f t="shared" si="577"/>
        <v>0</v>
      </c>
      <c r="P2052" s="52">
        <f t="shared" si="577"/>
        <v>0</v>
      </c>
      <c r="Q2052" s="52">
        <f t="shared" si="577"/>
        <v>0</v>
      </c>
      <c r="R2052" s="52">
        <f t="shared" si="577"/>
        <v>0</v>
      </c>
      <c r="T2052" s="52" t="e">
        <f t="shared" si="578"/>
        <v>#REF!</v>
      </c>
    </row>
    <row r="2053" spans="2:20" x14ac:dyDescent="0.25">
      <c r="B2053" s="97">
        <f t="shared" si="579"/>
        <v>6</v>
      </c>
      <c r="C2053" s="29"/>
      <c r="D2053" s="29"/>
      <c r="E2053" s="29"/>
      <c r="F2053" s="53" t="s">
        <v>343</v>
      </c>
      <c r="G2053" s="125">
        <v>640</v>
      </c>
      <c r="H2053" s="29" t="s">
        <v>315</v>
      </c>
      <c r="I2053" s="15">
        <f>SUM(I2054:I2076)</f>
        <v>90000</v>
      </c>
      <c r="J2053" s="15">
        <f t="shared" ref="J2053:M2053" si="580">SUM(J2054:J2076)</f>
        <v>104000</v>
      </c>
      <c r="K2053" s="15">
        <f t="shared" si="580"/>
        <v>118000</v>
      </c>
      <c r="L2053" s="15">
        <f t="shared" si="580"/>
        <v>78500</v>
      </c>
      <c r="M2053" s="15">
        <f t="shared" si="580"/>
        <v>90000</v>
      </c>
      <c r="N2053" s="15"/>
      <c r="O2053" s="15"/>
      <c r="P2053" s="15"/>
      <c r="Q2053" s="15"/>
      <c r="R2053" s="15"/>
      <c r="T2053" s="15">
        <f t="shared" si="578"/>
        <v>90000</v>
      </c>
    </row>
    <row r="2054" spans="2:20" x14ac:dyDescent="0.25">
      <c r="B2054" s="97">
        <f t="shared" si="579"/>
        <v>7</v>
      </c>
      <c r="C2054" s="12"/>
      <c r="D2054" s="12"/>
      <c r="E2054" s="12"/>
      <c r="F2054" s="12"/>
      <c r="G2054" s="127"/>
      <c r="H2054" s="12" t="s">
        <v>602</v>
      </c>
      <c r="I2054" s="13">
        <v>70000</v>
      </c>
      <c r="J2054" s="13">
        <v>70000</v>
      </c>
      <c r="K2054" s="13">
        <v>60000</v>
      </c>
      <c r="L2054" s="13">
        <v>25000</v>
      </c>
      <c r="M2054" s="13">
        <v>26750</v>
      </c>
      <c r="N2054" s="13"/>
      <c r="O2054" s="13"/>
      <c r="P2054" s="13"/>
      <c r="Q2054" s="13"/>
      <c r="R2054" s="13"/>
      <c r="T2054" s="13">
        <f t="shared" si="578"/>
        <v>70000</v>
      </c>
    </row>
    <row r="2055" spans="2:20" x14ac:dyDescent="0.25">
      <c r="B2055" s="97">
        <f t="shared" si="579"/>
        <v>8</v>
      </c>
      <c r="C2055" s="12"/>
      <c r="D2055" s="12"/>
      <c r="E2055" s="12"/>
      <c r="F2055" s="12"/>
      <c r="G2055" s="127"/>
      <c r="H2055" s="12" t="s">
        <v>733</v>
      </c>
      <c r="I2055" s="13">
        <v>20000</v>
      </c>
      <c r="J2055" s="13">
        <v>20000</v>
      </c>
      <c r="K2055" s="13">
        <v>20000</v>
      </c>
      <c r="L2055" s="13">
        <v>15000</v>
      </c>
      <c r="M2055" s="13">
        <v>15000</v>
      </c>
      <c r="N2055" s="13"/>
      <c r="O2055" s="13"/>
      <c r="P2055" s="13"/>
      <c r="Q2055" s="13"/>
      <c r="R2055" s="13"/>
      <c r="T2055" s="13">
        <f t="shared" si="578"/>
        <v>20000</v>
      </c>
    </row>
    <row r="2056" spans="2:20" x14ac:dyDescent="0.25">
      <c r="B2056" s="97">
        <f t="shared" si="579"/>
        <v>9</v>
      </c>
      <c r="C2056" s="12"/>
      <c r="D2056" s="12"/>
      <c r="E2056" s="12"/>
      <c r="F2056" s="12"/>
      <c r="G2056" s="127"/>
      <c r="H2056" s="12" t="s">
        <v>603</v>
      </c>
      <c r="I2056" s="13"/>
      <c r="J2056" s="13">
        <v>4000</v>
      </c>
      <c r="K2056" s="13">
        <v>4000</v>
      </c>
      <c r="L2056" s="13"/>
      <c r="M2056" s="13"/>
      <c r="N2056" s="13"/>
      <c r="O2056" s="13"/>
      <c r="P2056" s="13"/>
      <c r="Q2056" s="13"/>
      <c r="R2056" s="13"/>
      <c r="T2056" s="13">
        <f t="shared" si="578"/>
        <v>0</v>
      </c>
    </row>
    <row r="2057" spans="2:20" x14ac:dyDescent="0.25">
      <c r="B2057" s="97">
        <f t="shared" si="579"/>
        <v>10</v>
      </c>
      <c r="C2057" s="12"/>
      <c r="D2057" s="12"/>
      <c r="E2057" s="12"/>
      <c r="F2057" s="12"/>
      <c r="G2057" s="127"/>
      <c r="H2057" s="12" t="s">
        <v>734</v>
      </c>
      <c r="I2057" s="13"/>
      <c r="J2057" s="13">
        <v>10000</v>
      </c>
      <c r="K2057" s="13">
        <v>10000</v>
      </c>
      <c r="L2057" s="13">
        <v>12000</v>
      </c>
      <c r="M2057" s="13">
        <v>12000</v>
      </c>
      <c r="N2057" s="13"/>
      <c r="O2057" s="13"/>
      <c r="P2057" s="13"/>
      <c r="Q2057" s="13"/>
      <c r="R2057" s="13"/>
      <c r="T2057" s="13">
        <f t="shared" si="578"/>
        <v>0</v>
      </c>
    </row>
    <row r="2058" spans="2:20" x14ac:dyDescent="0.25">
      <c r="B2058" s="97">
        <f t="shared" si="579"/>
        <v>11</v>
      </c>
      <c r="C2058" s="12"/>
      <c r="D2058" s="12"/>
      <c r="E2058" s="12"/>
      <c r="F2058" s="12"/>
      <c r="G2058" s="127"/>
      <c r="H2058" s="12" t="s">
        <v>735</v>
      </c>
      <c r="I2058" s="13"/>
      <c r="J2058" s="13"/>
      <c r="K2058" s="13">
        <v>10000</v>
      </c>
      <c r="L2058" s="13">
        <v>3000</v>
      </c>
      <c r="M2058" s="13">
        <v>2000</v>
      </c>
      <c r="N2058" s="13"/>
      <c r="O2058" s="13"/>
      <c r="P2058" s="13"/>
      <c r="Q2058" s="13"/>
      <c r="R2058" s="13"/>
      <c r="T2058" s="13">
        <f t="shared" si="578"/>
        <v>0</v>
      </c>
    </row>
    <row r="2059" spans="2:20" x14ac:dyDescent="0.25">
      <c r="B2059" s="97">
        <f t="shared" si="579"/>
        <v>12</v>
      </c>
      <c r="C2059" s="12"/>
      <c r="D2059" s="12"/>
      <c r="E2059" s="12"/>
      <c r="F2059" s="12"/>
      <c r="G2059" s="127"/>
      <c r="H2059" s="12" t="s">
        <v>736</v>
      </c>
      <c r="I2059" s="13"/>
      <c r="J2059" s="13"/>
      <c r="K2059" s="13">
        <v>5000</v>
      </c>
      <c r="L2059" s="13">
        <v>1600</v>
      </c>
      <c r="M2059" s="13">
        <v>1500</v>
      </c>
      <c r="N2059" s="13"/>
      <c r="O2059" s="13"/>
      <c r="P2059" s="13"/>
      <c r="Q2059" s="13"/>
      <c r="R2059" s="13"/>
      <c r="T2059" s="13">
        <f t="shared" si="578"/>
        <v>0</v>
      </c>
    </row>
    <row r="2060" spans="2:20" x14ac:dyDescent="0.25">
      <c r="B2060" s="97">
        <f t="shared" si="579"/>
        <v>13</v>
      </c>
      <c r="C2060" s="12"/>
      <c r="D2060" s="12"/>
      <c r="E2060" s="12"/>
      <c r="F2060" s="12"/>
      <c r="G2060" s="127"/>
      <c r="H2060" s="12" t="s">
        <v>737</v>
      </c>
      <c r="I2060" s="13"/>
      <c r="J2060" s="13"/>
      <c r="K2060" s="13">
        <v>4000</v>
      </c>
      <c r="L2060" s="13"/>
      <c r="M2060" s="13"/>
      <c r="N2060" s="13"/>
      <c r="O2060" s="13"/>
      <c r="P2060" s="13"/>
      <c r="Q2060" s="13"/>
      <c r="R2060" s="13"/>
      <c r="T2060" s="13">
        <f t="shared" si="578"/>
        <v>0</v>
      </c>
    </row>
    <row r="2061" spans="2:20" x14ac:dyDescent="0.25">
      <c r="B2061" s="97">
        <f t="shared" si="579"/>
        <v>14</v>
      </c>
      <c r="C2061" s="12"/>
      <c r="D2061" s="12"/>
      <c r="E2061" s="12"/>
      <c r="F2061" s="12"/>
      <c r="G2061" s="127"/>
      <c r="H2061" s="12" t="s">
        <v>738</v>
      </c>
      <c r="I2061" s="13"/>
      <c r="J2061" s="13"/>
      <c r="K2061" s="13">
        <v>3000</v>
      </c>
      <c r="L2061" s="13"/>
      <c r="M2061" s="13"/>
      <c r="N2061" s="13"/>
      <c r="O2061" s="13"/>
      <c r="P2061" s="13"/>
      <c r="Q2061" s="13"/>
      <c r="R2061" s="13"/>
      <c r="T2061" s="13">
        <f t="shared" si="578"/>
        <v>0</v>
      </c>
    </row>
    <row r="2062" spans="2:20" x14ac:dyDescent="0.25">
      <c r="B2062" s="97">
        <f t="shared" si="579"/>
        <v>15</v>
      </c>
      <c r="C2062" s="12"/>
      <c r="D2062" s="12"/>
      <c r="E2062" s="12"/>
      <c r="F2062" s="12"/>
      <c r="G2062" s="127"/>
      <c r="H2062" s="12" t="s">
        <v>782</v>
      </c>
      <c r="I2062" s="13"/>
      <c r="J2062" s="13"/>
      <c r="K2062" s="13">
        <v>2000</v>
      </c>
      <c r="L2062" s="13"/>
      <c r="M2062" s="13"/>
      <c r="N2062" s="13"/>
      <c r="O2062" s="13"/>
      <c r="P2062" s="13"/>
      <c r="Q2062" s="13"/>
      <c r="R2062" s="13"/>
      <c r="T2062" s="13">
        <f t="shared" si="578"/>
        <v>0</v>
      </c>
    </row>
    <row r="2063" spans="2:20" x14ac:dyDescent="0.25">
      <c r="B2063" s="97">
        <f t="shared" si="579"/>
        <v>16</v>
      </c>
      <c r="C2063" s="12"/>
      <c r="D2063" s="12"/>
      <c r="E2063" s="12"/>
      <c r="F2063" s="12"/>
      <c r="G2063" s="127"/>
      <c r="H2063" s="12" t="s">
        <v>739</v>
      </c>
      <c r="I2063" s="13"/>
      <c r="J2063" s="13"/>
      <c r="K2063" s="13"/>
      <c r="L2063" s="13">
        <v>12500</v>
      </c>
      <c r="M2063" s="13">
        <v>10000</v>
      </c>
      <c r="N2063" s="13"/>
      <c r="O2063" s="13"/>
      <c r="P2063" s="13"/>
      <c r="Q2063" s="13"/>
      <c r="R2063" s="13"/>
      <c r="T2063" s="13">
        <f t="shared" si="578"/>
        <v>0</v>
      </c>
    </row>
    <row r="2064" spans="2:20" x14ac:dyDescent="0.25">
      <c r="B2064" s="97">
        <f t="shared" si="579"/>
        <v>17</v>
      </c>
      <c r="C2064" s="12"/>
      <c r="D2064" s="12"/>
      <c r="E2064" s="12"/>
      <c r="F2064" s="12"/>
      <c r="G2064" s="127"/>
      <c r="H2064" s="12" t="s">
        <v>740</v>
      </c>
      <c r="I2064" s="13"/>
      <c r="J2064" s="13"/>
      <c r="K2064" s="13"/>
      <c r="L2064" s="13"/>
      <c r="M2064" s="13">
        <v>2000</v>
      </c>
      <c r="N2064" s="13"/>
      <c r="O2064" s="13"/>
      <c r="P2064" s="13"/>
      <c r="Q2064" s="13"/>
      <c r="R2064" s="13"/>
      <c r="T2064" s="13">
        <f t="shared" si="578"/>
        <v>0</v>
      </c>
    </row>
    <row r="2065" spans="2:20" x14ac:dyDescent="0.25">
      <c r="B2065" s="97">
        <f t="shared" si="579"/>
        <v>18</v>
      </c>
      <c r="C2065" s="12"/>
      <c r="D2065" s="12"/>
      <c r="E2065" s="12"/>
      <c r="F2065" s="12"/>
      <c r="G2065" s="127"/>
      <c r="H2065" s="12" t="s">
        <v>741</v>
      </c>
      <c r="I2065" s="13"/>
      <c r="J2065" s="13"/>
      <c r="K2065" s="13"/>
      <c r="L2065" s="13">
        <v>1500</v>
      </c>
      <c r="M2065" s="13">
        <v>1000</v>
      </c>
      <c r="N2065" s="13"/>
      <c r="O2065" s="13"/>
      <c r="P2065" s="13"/>
      <c r="Q2065" s="13"/>
      <c r="R2065" s="13"/>
      <c r="T2065" s="13">
        <f t="shared" si="578"/>
        <v>0</v>
      </c>
    </row>
    <row r="2066" spans="2:20" x14ac:dyDescent="0.25">
      <c r="B2066" s="97">
        <f t="shared" si="579"/>
        <v>19</v>
      </c>
      <c r="C2066" s="12"/>
      <c r="D2066" s="12"/>
      <c r="E2066" s="12"/>
      <c r="F2066" s="12"/>
      <c r="G2066" s="127"/>
      <c r="H2066" s="12" t="s">
        <v>742</v>
      </c>
      <c r="I2066" s="13"/>
      <c r="J2066" s="13"/>
      <c r="K2066" s="13"/>
      <c r="L2066" s="13"/>
      <c r="M2066" s="13">
        <v>2500</v>
      </c>
      <c r="N2066" s="13"/>
      <c r="O2066" s="13"/>
      <c r="P2066" s="13"/>
      <c r="Q2066" s="13"/>
      <c r="R2066" s="13"/>
      <c r="T2066" s="13">
        <f t="shared" si="578"/>
        <v>0</v>
      </c>
    </row>
    <row r="2067" spans="2:20" x14ac:dyDescent="0.25">
      <c r="B2067" s="97">
        <f t="shared" si="579"/>
        <v>20</v>
      </c>
      <c r="C2067" s="12"/>
      <c r="D2067" s="12"/>
      <c r="E2067" s="12"/>
      <c r="F2067" s="12"/>
      <c r="G2067" s="127"/>
      <c r="H2067" s="12" t="s">
        <v>743</v>
      </c>
      <c r="I2067" s="13"/>
      <c r="J2067" s="13"/>
      <c r="K2067" s="13"/>
      <c r="L2067" s="13"/>
      <c r="M2067" s="13">
        <v>3000</v>
      </c>
      <c r="N2067" s="13"/>
      <c r="O2067" s="13"/>
      <c r="P2067" s="13"/>
      <c r="Q2067" s="13"/>
      <c r="R2067" s="13"/>
      <c r="T2067" s="13">
        <f t="shared" si="578"/>
        <v>0</v>
      </c>
    </row>
    <row r="2068" spans="2:20" x14ac:dyDescent="0.25">
      <c r="B2068" s="97">
        <f t="shared" si="579"/>
        <v>21</v>
      </c>
      <c r="C2068" s="12"/>
      <c r="D2068" s="12"/>
      <c r="E2068" s="12"/>
      <c r="F2068" s="12"/>
      <c r="G2068" s="127"/>
      <c r="H2068" s="12" t="s">
        <v>712</v>
      </c>
      <c r="I2068" s="13"/>
      <c r="J2068" s="13"/>
      <c r="K2068" s="13"/>
      <c r="L2068" s="13"/>
      <c r="M2068" s="13">
        <v>3000</v>
      </c>
      <c r="N2068" s="13"/>
      <c r="O2068" s="13"/>
      <c r="P2068" s="13"/>
      <c r="Q2068" s="13"/>
      <c r="R2068" s="13"/>
      <c r="T2068" s="13">
        <f t="shared" si="578"/>
        <v>0</v>
      </c>
    </row>
    <row r="2069" spans="2:20" x14ac:dyDescent="0.25">
      <c r="B2069" s="97">
        <f t="shared" si="579"/>
        <v>22</v>
      </c>
      <c r="C2069" s="12"/>
      <c r="D2069" s="12"/>
      <c r="E2069" s="12"/>
      <c r="F2069" s="12"/>
      <c r="G2069" s="127"/>
      <c r="H2069" s="12" t="s">
        <v>744</v>
      </c>
      <c r="I2069" s="13"/>
      <c r="J2069" s="13"/>
      <c r="K2069" s="13"/>
      <c r="L2069" s="13"/>
      <c r="M2069" s="13">
        <v>3000</v>
      </c>
      <c r="N2069" s="13"/>
      <c r="O2069" s="13"/>
      <c r="P2069" s="13"/>
      <c r="Q2069" s="13"/>
      <c r="R2069" s="13"/>
      <c r="T2069" s="13">
        <f t="shared" si="578"/>
        <v>0</v>
      </c>
    </row>
    <row r="2070" spans="2:20" x14ac:dyDescent="0.25">
      <c r="B2070" s="97">
        <f t="shared" si="579"/>
        <v>23</v>
      </c>
      <c r="C2070" s="12"/>
      <c r="D2070" s="12"/>
      <c r="E2070" s="12"/>
      <c r="F2070" s="12"/>
      <c r="G2070" s="127"/>
      <c r="H2070" s="12" t="s">
        <v>745</v>
      </c>
      <c r="I2070" s="13"/>
      <c r="J2070" s="13"/>
      <c r="K2070" s="13"/>
      <c r="L2070" s="13"/>
      <c r="M2070" s="13">
        <v>3000</v>
      </c>
      <c r="N2070" s="13"/>
      <c r="O2070" s="13"/>
      <c r="P2070" s="13"/>
      <c r="Q2070" s="13"/>
      <c r="R2070" s="13"/>
      <c r="T2070" s="13">
        <f t="shared" si="578"/>
        <v>0</v>
      </c>
    </row>
    <row r="2071" spans="2:20" x14ac:dyDescent="0.25">
      <c r="B2071" s="97">
        <f t="shared" si="579"/>
        <v>24</v>
      </c>
      <c r="C2071" s="12"/>
      <c r="D2071" s="12"/>
      <c r="E2071" s="12"/>
      <c r="F2071" s="12"/>
      <c r="G2071" s="127"/>
      <c r="H2071" s="12" t="s">
        <v>751</v>
      </c>
      <c r="I2071" s="13"/>
      <c r="J2071" s="13"/>
      <c r="K2071" s="13"/>
      <c r="L2071" s="13">
        <v>900</v>
      </c>
      <c r="M2071" s="13">
        <f>1250+500</f>
        <v>1750</v>
      </c>
      <c r="N2071" s="13"/>
      <c r="O2071" s="13"/>
      <c r="P2071" s="13"/>
      <c r="Q2071" s="13"/>
      <c r="R2071" s="13"/>
      <c r="T2071" s="13">
        <f t="shared" si="578"/>
        <v>0</v>
      </c>
    </row>
    <row r="2072" spans="2:20" x14ac:dyDescent="0.25">
      <c r="B2072" s="97">
        <f t="shared" si="579"/>
        <v>25</v>
      </c>
      <c r="C2072" s="12"/>
      <c r="D2072" s="12"/>
      <c r="E2072" s="12"/>
      <c r="F2072" s="12"/>
      <c r="G2072" s="127"/>
      <c r="H2072" s="12" t="s">
        <v>746</v>
      </c>
      <c r="I2072" s="13"/>
      <c r="J2072" s="13"/>
      <c r="K2072" s="13"/>
      <c r="L2072" s="13"/>
      <c r="M2072" s="13">
        <v>3500</v>
      </c>
      <c r="N2072" s="13"/>
      <c r="O2072" s="13"/>
      <c r="P2072" s="13"/>
      <c r="Q2072" s="13"/>
      <c r="R2072" s="13"/>
      <c r="T2072" s="13">
        <f t="shared" si="578"/>
        <v>0</v>
      </c>
    </row>
    <row r="2073" spans="2:20" x14ac:dyDescent="0.25">
      <c r="B2073" s="97">
        <f t="shared" si="579"/>
        <v>26</v>
      </c>
      <c r="C2073" s="12"/>
      <c r="D2073" s="12"/>
      <c r="E2073" s="12"/>
      <c r="F2073" s="12"/>
      <c r="G2073" s="127"/>
      <c r="H2073" s="12" t="s">
        <v>747</v>
      </c>
      <c r="I2073" s="13"/>
      <c r="J2073" s="13"/>
      <c r="K2073" s="13"/>
      <c r="L2073" s="13">
        <v>2000</v>
      </c>
      <c r="M2073" s="13"/>
      <c r="N2073" s="13"/>
      <c r="O2073" s="13"/>
      <c r="P2073" s="13"/>
      <c r="Q2073" s="13"/>
      <c r="R2073" s="13"/>
      <c r="T2073" s="13">
        <f t="shared" si="578"/>
        <v>0</v>
      </c>
    </row>
    <row r="2074" spans="2:20" x14ac:dyDescent="0.25">
      <c r="B2074" s="97">
        <f t="shared" si="579"/>
        <v>27</v>
      </c>
      <c r="C2074" s="12"/>
      <c r="D2074" s="12"/>
      <c r="E2074" s="12"/>
      <c r="F2074" s="12"/>
      <c r="G2074" s="127"/>
      <c r="H2074" s="12" t="s">
        <v>748</v>
      </c>
      <c r="I2074" s="13"/>
      <c r="J2074" s="13"/>
      <c r="K2074" s="13"/>
      <c r="L2074" s="13">
        <v>1200</v>
      </c>
      <c r="M2074" s="13"/>
      <c r="N2074" s="13"/>
      <c r="O2074" s="13"/>
      <c r="P2074" s="13"/>
      <c r="Q2074" s="13"/>
      <c r="R2074" s="13"/>
      <c r="T2074" s="13">
        <f t="shared" si="578"/>
        <v>0</v>
      </c>
    </row>
    <row r="2075" spans="2:20" x14ac:dyDescent="0.25">
      <c r="B2075" s="97">
        <f t="shared" si="579"/>
        <v>28</v>
      </c>
      <c r="C2075" s="12"/>
      <c r="D2075" s="12"/>
      <c r="E2075" s="12"/>
      <c r="F2075" s="12"/>
      <c r="G2075" s="127"/>
      <c r="H2075" s="114" t="s">
        <v>749</v>
      </c>
      <c r="I2075" s="13"/>
      <c r="J2075" s="13"/>
      <c r="K2075" s="13"/>
      <c r="L2075" s="13">
        <v>2100</v>
      </c>
      <c r="M2075" s="13"/>
      <c r="N2075" s="13"/>
      <c r="O2075" s="13"/>
      <c r="P2075" s="13"/>
      <c r="Q2075" s="13"/>
      <c r="R2075" s="13"/>
      <c r="T2075" s="13">
        <f t="shared" si="578"/>
        <v>0</v>
      </c>
    </row>
    <row r="2076" spans="2:20" x14ac:dyDescent="0.25">
      <c r="B2076" s="97">
        <f t="shared" si="579"/>
        <v>29</v>
      </c>
      <c r="C2076" s="12"/>
      <c r="D2076" s="12"/>
      <c r="E2076" s="12"/>
      <c r="F2076" s="12"/>
      <c r="G2076" s="127"/>
      <c r="H2076" s="12" t="s">
        <v>750</v>
      </c>
      <c r="I2076" s="13"/>
      <c r="J2076" s="13"/>
      <c r="K2076" s="13"/>
      <c r="L2076" s="13">
        <v>1700</v>
      </c>
      <c r="M2076" s="13"/>
      <c r="N2076" s="13"/>
      <c r="O2076" s="13"/>
      <c r="P2076" s="13"/>
      <c r="Q2076" s="13"/>
      <c r="R2076" s="13"/>
      <c r="T2076" s="13">
        <f t="shared" si="578"/>
        <v>0</v>
      </c>
    </row>
    <row r="2077" spans="2:20" ht="15.75" x14ac:dyDescent="0.25">
      <c r="B2077" s="97">
        <f t="shared" si="579"/>
        <v>30</v>
      </c>
      <c r="C2077" s="45">
        <v>2</v>
      </c>
      <c r="D2077" s="293" t="s">
        <v>604</v>
      </c>
      <c r="E2077" s="294"/>
      <c r="F2077" s="294"/>
      <c r="G2077" s="294"/>
      <c r="H2077" s="295"/>
      <c r="I2077" s="46">
        <f>I2080</f>
        <v>142100</v>
      </c>
      <c r="J2077" s="46">
        <f t="shared" ref="J2077:M2080" si="581">J2078</f>
        <v>80600</v>
      </c>
      <c r="K2077" s="46">
        <f t="shared" si="581"/>
        <v>103850</v>
      </c>
      <c r="L2077" s="46">
        <f t="shared" si="581"/>
        <v>74193</v>
      </c>
      <c r="M2077" s="46">
        <f t="shared" si="581"/>
        <v>62147</v>
      </c>
      <c r="N2077" s="46">
        <v>0</v>
      </c>
      <c r="O2077" s="46">
        <f t="shared" ref="O2077:R2080" si="582">O2078</f>
        <v>0</v>
      </c>
      <c r="P2077" s="46">
        <f t="shared" si="582"/>
        <v>0</v>
      </c>
      <c r="Q2077" s="46">
        <f t="shared" si="582"/>
        <v>0</v>
      </c>
      <c r="R2077" s="46">
        <f t="shared" si="582"/>
        <v>24767</v>
      </c>
      <c r="T2077" s="46">
        <f t="shared" si="578"/>
        <v>142100</v>
      </c>
    </row>
    <row r="2078" spans="2:20" hidden="1" x14ac:dyDescent="0.25">
      <c r="B2078" s="97">
        <f t="shared" si="579"/>
        <v>31</v>
      </c>
      <c r="C2078" s="47"/>
      <c r="D2078" s="47" t="s">
        <v>60</v>
      </c>
      <c r="E2078" s="296"/>
      <c r="F2078" s="294"/>
      <c r="G2078" s="294"/>
      <c r="H2078" s="295"/>
      <c r="I2078" s="48" t="e">
        <f>#REF!+#REF!</f>
        <v>#REF!</v>
      </c>
      <c r="J2078" s="48">
        <f t="shared" si="581"/>
        <v>80600</v>
      </c>
      <c r="K2078" s="48">
        <f t="shared" si="581"/>
        <v>103850</v>
      </c>
      <c r="L2078" s="48">
        <f t="shared" si="581"/>
        <v>74193</v>
      </c>
      <c r="M2078" s="48">
        <f t="shared" si="581"/>
        <v>62147</v>
      </c>
      <c r="N2078" s="48" t="e">
        <f>#REF!+#REF!</f>
        <v>#REF!</v>
      </c>
      <c r="O2078" s="48">
        <f t="shared" si="582"/>
        <v>0</v>
      </c>
      <c r="P2078" s="48">
        <f t="shared" si="582"/>
        <v>0</v>
      </c>
      <c r="Q2078" s="48">
        <f t="shared" si="582"/>
        <v>0</v>
      </c>
      <c r="R2078" s="48">
        <f t="shared" si="582"/>
        <v>24767</v>
      </c>
      <c r="T2078" s="48" t="e">
        <f t="shared" si="578"/>
        <v>#REF!</v>
      </c>
    </row>
    <row r="2079" spans="2:20" hidden="1" x14ac:dyDescent="0.25">
      <c r="B2079" s="97">
        <f t="shared" si="579"/>
        <v>32</v>
      </c>
      <c r="C2079" s="49"/>
      <c r="D2079" s="49"/>
      <c r="E2079" s="49"/>
      <c r="F2079" s="49"/>
      <c r="G2079" s="123"/>
      <c r="H2079" s="49" t="s">
        <v>12</v>
      </c>
      <c r="I2079" s="50" t="e">
        <f>#REF!+#REF!</f>
        <v>#REF!</v>
      </c>
      <c r="J2079" s="50">
        <f t="shared" si="581"/>
        <v>80600</v>
      </c>
      <c r="K2079" s="50">
        <f t="shared" si="581"/>
        <v>103850</v>
      </c>
      <c r="L2079" s="50">
        <f t="shared" si="581"/>
        <v>74193</v>
      </c>
      <c r="M2079" s="50">
        <f t="shared" si="581"/>
        <v>62147</v>
      </c>
      <c r="N2079" s="50" t="e">
        <f>#REF!+#REF!</f>
        <v>#REF!</v>
      </c>
      <c r="O2079" s="50">
        <f t="shared" si="582"/>
        <v>0</v>
      </c>
      <c r="P2079" s="50">
        <f t="shared" si="582"/>
        <v>0</v>
      </c>
      <c r="Q2079" s="50">
        <f t="shared" si="582"/>
        <v>0</v>
      </c>
      <c r="R2079" s="50">
        <f t="shared" si="582"/>
        <v>24767</v>
      </c>
      <c r="T2079" s="50" t="e">
        <f t="shared" si="578"/>
        <v>#REF!</v>
      </c>
    </row>
    <row r="2080" spans="2:20" ht="12.75" hidden="1" customHeight="1" x14ac:dyDescent="0.25">
      <c r="B2080" s="97">
        <f t="shared" si="579"/>
        <v>33</v>
      </c>
      <c r="C2080" s="51"/>
      <c r="D2080" s="51"/>
      <c r="E2080" s="51" t="s">
        <v>60</v>
      </c>
      <c r="F2080" s="51"/>
      <c r="G2080" s="124"/>
      <c r="H2080" s="51"/>
      <c r="I2080" s="52">
        <f>I2081</f>
        <v>142100</v>
      </c>
      <c r="J2080" s="52">
        <f t="shared" si="581"/>
        <v>80600</v>
      </c>
      <c r="K2080" s="52">
        <f t="shared" si="581"/>
        <v>103850</v>
      </c>
      <c r="L2080" s="52">
        <f t="shared" si="581"/>
        <v>74193</v>
      </c>
      <c r="M2080" s="52">
        <f t="shared" si="581"/>
        <v>62147</v>
      </c>
      <c r="N2080" s="52"/>
      <c r="O2080" s="52">
        <f t="shared" si="582"/>
        <v>0</v>
      </c>
      <c r="P2080" s="52">
        <f t="shared" si="582"/>
        <v>0</v>
      </c>
      <c r="Q2080" s="52">
        <f t="shared" si="582"/>
        <v>0</v>
      </c>
      <c r="R2080" s="52">
        <f>R2081+R2087</f>
        <v>24767</v>
      </c>
      <c r="T2080" s="52">
        <f t="shared" si="578"/>
        <v>142100</v>
      </c>
    </row>
    <row r="2081" spans="2:20" x14ac:dyDescent="0.25">
      <c r="B2081" s="97">
        <f t="shared" si="579"/>
        <v>34</v>
      </c>
      <c r="C2081" s="29"/>
      <c r="D2081" s="29"/>
      <c r="E2081" s="29"/>
      <c r="F2081" s="53" t="s">
        <v>343</v>
      </c>
      <c r="G2081" s="125">
        <v>630</v>
      </c>
      <c r="H2081" s="29" t="s">
        <v>303</v>
      </c>
      <c r="I2081" s="15">
        <f>SUM(I2082:I2085)</f>
        <v>142100</v>
      </c>
      <c r="J2081" s="15">
        <f t="shared" ref="J2081:M2081" si="583">J2085+J2082</f>
        <v>80600</v>
      </c>
      <c r="K2081" s="15">
        <f t="shared" si="583"/>
        <v>103850</v>
      </c>
      <c r="L2081" s="15">
        <f t="shared" si="583"/>
        <v>74193</v>
      </c>
      <c r="M2081" s="15">
        <f t="shared" si="583"/>
        <v>62147</v>
      </c>
      <c r="N2081" s="15"/>
      <c r="O2081" s="15"/>
      <c r="P2081" s="15"/>
      <c r="Q2081" s="15"/>
      <c r="R2081" s="15"/>
      <c r="T2081" s="15">
        <f t="shared" si="578"/>
        <v>142100</v>
      </c>
    </row>
    <row r="2082" spans="2:20" x14ac:dyDescent="0.25">
      <c r="B2082" s="97">
        <f t="shared" si="579"/>
        <v>35</v>
      </c>
      <c r="C2082" s="9"/>
      <c r="D2082" s="9"/>
      <c r="E2082" s="9"/>
      <c r="F2082" s="54" t="s">
        <v>343</v>
      </c>
      <c r="G2082" s="126">
        <v>633</v>
      </c>
      <c r="H2082" s="9" t="s">
        <v>305</v>
      </c>
      <c r="I2082" s="10">
        <v>3600</v>
      </c>
      <c r="J2082" s="10">
        <v>5100</v>
      </c>
      <c r="K2082" s="10">
        <v>4200</v>
      </c>
      <c r="L2082" s="10">
        <f>2739+2260</f>
        <v>4999</v>
      </c>
      <c r="M2082" s="10">
        <v>4314</v>
      </c>
      <c r="N2082" s="10"/>
      <c r="O2082" s="10"/>
      <c r="P2082" s="10"/>
      <c r="Q2082" s="10"/>
      <c r="R2082" s="10"/>
      <c r="T2082" s="10">
        <f t="shared" si="578"/>
        <v>3600</v>
      </c>
    </row>
    <row r="2083" spans="2:20" x14ac:dyDescent="0.25">
      <c r="B2083" s="97">
        <f t="shared" si="579"/>
        <v>36</v>
      </c>
      <c r="C2083" s="9"/>
      <c r="D2083" s="9"/>
      <c r="E2083" s="9"/>
      <c r="F2083" s="54" t="s">
        <v>343</v>
      </c>
      <c r="G2083" s="126">
        <v>634</v>
      </c>
      <c r="H2083" s="9" t="s">
        <v>306</v>
      </c>
      <c r="I2083" s="10">
        <v>4000</v>
      </c>
      <c r="J2083" s="10"/>
      <c r="K2083" s="10"/>
      <c r="L2083" s="10"/>
      <c r="M2083" s="10"/>
      <c r="N2083" s="10"/>
      <c r="O2083" s="10"/>
      <c r="P2083" s="10"/>
      <c r="Q2083" s="10"/>
      <c r="R2083" s="10"/>
      <c r="T2083" s="10">
        <f t="shared" si="578"/>
        <v>4000</v>
      </c>
    </row>
    <row r="2084" spans="2:20" x14ac:dyDescent="0.25">
      <c r="B2084" s="97">
        <f t="shared" si="579"/>
        <v>37</v>
      </c>
      <c r="C2084" s="9"/>
      <c r="D2084" s="9"/>
      <c r="E2084" s="9"/>
      <c r="F2084" s="54" t="s">
        <v>343</v>
      </c>
      <c r="G2084" s="126">
        <v>636</v>
      </c>
      <c r="H2084" s="9" t="s">
        <v>802</v>
      </c>
      <c r="I2084" s="10">
        <v>10300</v>
      </c>
      <c r="J2084" s="10"/>
      <c r="K2084" s="10"/>
      <c r="L2084" s="10"/>
      <c r="M2084" s="10"/>
      <c r="N2084" s="10"/>
      <c r="O2084" s="10"/>
      <c r="P2084" s="10"/>
      <c r="Q2084" s="10"/>
      <c r="R2084" s="10"/>
      <c r="T2084" s="10">
        <f t="shared" si="578"/>
        <v>10300</v>
      </c>
    </row>
    <row r="2085" spans="2:20" x14ac:dyDescent="0.25">
      <c r="B2085" s="97">
        <f t="shared" si="579"/>
        <v>38</v>
      </c>
      <c r="C2085" s="9"/>
      <c r="D2085" s="9"/>
      <c r="E2085" s="9"/>
      <c r="F2085" s="54" t="s">
        <v>343</v>
      </c>
      <c r="G2085" s="126">
        <v>637</v>
      </c>
      <c r="H2085" s="9" t="s">
        <v>308</v>
      </c>
      <c r="I2085" s="10">
        <f>110200+14000</f>
        <v>124200</v>
      </c>
      <c r="J2085" s="10">
        <v>75500</v>
      </c>
      <c r="K2085" s="10">
        <v>99650</v>
      </c>
      <c r="L2085" s="10">
        <v>69194</v>
      </c>
      <c r="M2085" s="10">
        <v>57833</v>
      </c>
      <c r="N2085" s="10"/>
      <c r="O2085" s="10"/>
      <c r="P2085" s="10"/>
      <c r="Q2085" s="10"/>
      <c r="R2085" s="10"/>
      <c r="T2085" s="10">
        <f t="shared" si="578"/>
        <v>124200</v>
      </c>
    </row>
    <row r="2086" spans="2:20" x14ac:dyDescent="0.25">
      <c r="B2086" s="97">
        <f t="shared" si="579"/>
        <v>39</v>
      </c>
      <c r="C2086" s="9"/>
      <c r="D2086" s="9"/>
      <c r="E2086" s="9"/>
      <c r="F2086" s="53" t="s">
        <v>574</v>
      </c>
      <c r="G2086" s="125">
        <v>710</v>
      </c>
      <c r="H2086" s="29" t="s">
        <v>321</v>
      </c>
      <c r="I2086" s="15"/>
      <c r="J2086" s="15"/>
      <c r="K2086" s="15"/>
      <c r="L2086" s="15"/>
      <c r="M2086" s="15"/>
      <c r="N2086" s="15"/>
      <c r="O2086" s="15"/>
      <c r="P2086" s="15"/>
      <c r="Q2086" s="15"/>
      <c r="R2086" s="15">
        <f>R2087</f>
        <v>24767</v>
      </c>
      <c r="T2086" s="15">
        <f t="shared" si="578"/>
        <v>0</v>
      </c>
    </row>
    <row r="2087" spans="2:20" x14ac:dyDescent="0.25">
      <c r="B2087" s="97">
        <f t="shared" si="579"/>
        <v>40</v>
      </c>
      <c r="C2087" s="9"/>
      <c r="D2087" s="9"/>
      <c r="E2087" s="9"/>
      <c r="F2087" s="54"/>
      <c r="G2087" s="126">
        <v>717</v>
      </c>
      <c r="H2087" s="65" t="s">
        <v>605</v>
      </c>
      <c r="I2087" s="10"/>
      <c r="J2087" s="10"/>
      <c r="K2087" s="10"/>
      <c r="L2087" s="10"/>
      <c r="M2087" s="10"/>
      <c r="N2087" s="10"/>
      <c r="O2087" s="10"/>
      <c r="P2087" s="10"/>
      <c r="Q2087" s="10"/>
      <c r="R2087" s="10">
        <f>10696+14071</f>
        <v>24767</v>
      </c>
      <c r="T2087" s="10">
        <f t="shared" si="578"/>
        <v>0</v>
      </c>
    </row>
    <row r="2088" spans="2:20" ht="18" customHeight="1" x14ac:dyDescent="0.25">
      <c r="B2088" s="97">
        <f t="shared" si="579"/>
        <v>41</v>
      </c>
      <c r="C2088" s="45">
        <v>3</v>
      </c>
      <c r="D2088" s="293" t="s">
        <v>606</v>
      </c>
      <c r="E2088" s="294"/>
      <c r="F2088" s="294"/>
      <c r="G2088" s="294"/>
      <c r="H2088" s="295"/>
      <c r="I2088" s="46">
        <f>I2091+I2107</f>
        <v>171700</v>
      </c>
      <c r="J2088" s="46">
        <f t="shared" ref="J2088:R2088" si="584">J2089</f>
        <v>163900</v>
      </c>
      <c r="K2088" s="46">
        <f t="shared" si="584"/>
        <v>163900</v>
      </c>
      <c r="L2088" s="46">
        <f t="shared" si="584"/>
        <v>136843.68</v>
      </c>
      <c r="M2088" s="46">
        <f t="shared" si="584"/>
        <v>157045</v>
      </c>
      <c r="N2088" s="46">
        <f>N2091</f>
        <v>64300</v>
      </c>
      <c r="O2088" s="46">
        <f t="shared" si="584"/>
        <v>0</v>
      </c>
      <c r="P2088" s="46">
        <f t="shared" si="584"/>
        <v>10300</v>
      </c>
      <c r="Q2088" s="46">
        <f t="shared" si="584"/>
        <v>3014</v>
      </c>
      <c r="R2088" s="46">
        <f t="shared" si="584"/>
        <v>11950</v>
      </c>
      <c r="T2088" s="46">
        <f t="shared" si="578"/>
        <v>236000</v>
      </c>
    </row>
    <row r="2089" spans="2:20" hidden="1" x14ac:dyDescent="0.25">
      <c r="B2089" s="97">
        <f t="shared" si="579"/>
        <v>42</v>
      </c>
      <c r="C2089" s="47"/>
      <c r="D2089" s="47" t="s">
        <v>60</v>
      </c>
      <c r="E2089" s="296"/>
      <c r="F2089" s="294"/>
      <c r="G2089" s="294"/>
      <c r="H2089" s="295"/>
      <c r="I2089" s="48" t="e">
        <f>#REF!+#REF!</f>
        <v>#REF!</v>
      </c>
      <c r="J2089" s="48">
        <f>J2107+J2090</f>
        <v>163900</v>
      </c>
      <c r="K2089" s="48">
        <f>K2107+K2090</f>
        <v>163900</v>
      </c>
      <c r="L2089" s="48">
        <f>L2107+L2090</f>
        <v>136843.68</v>
      </c>
      <c r="M2089" s="48">
        <f>M2107+M2090</f>
        <v>157045</v>
      </c>
      <c r="N2089" s="48" t="e">
        <f>#REF!+#REF!</f>
        <v>#REF!</v>
      </c>
      <c r="O2089" s="48">
        <f>O2107+O2090</f>
        <v>0</v>
      </c>
      <c r="P2089" s="48">
        <f>P2107+P2090</f>
        <v>10300</v>
      </c>
      <c r="Q2089" s="48">
        <f>Q2107+Q2090</f>
        <v>3014</v>
      </c>
      <c r="R2089" s="48">
        <f>R2107+R2090</f>
        <v>11950</v>
      </c>
      <c r="T2089" s="48" t="e">
        <f t="shared" si="578"/>
        <v>#REF!</v>
      </c>
    </row>
    <row r="2090" spans="2:20" hidden="1" x14ac:dyDescent="0.25">
      <c r="B2090" s="97">
        <f t="shared" si="579"/>
        <v>43</v>
      </c>
      <c r="C2090" s="49"/>
      <c r="D2090" s="49"/>
      <c r="E2090" s="49"/>
      <c r="F2090" s="49"/>
      <c r="G2090" s="123"/>
      <c r="H2090" s="49" t="s">
        <v>12</v>
      </c>
      <c r="I2090" s="50" t="e">
        <f>#REF!+#REF!</f>
        <v>#REF!</v>
      </c>
      <c r="J2090" s="50">
        <f t="shared" ref="J2090:R2090" si="585">J2091</f>
        <v>29100</v>
      </c>
      <c r="K2090" s="50">
        <f t="shared" si="585"/>
        <v>29100</v>
      </c>
      <c r="L2090" s="50">
        <f t="shared" si="585"/>
        <v>27643.680000000004</v>
      </c>
      <c r="M2090" s="50">
        <f t="shared" si="585"/>
        <v>38233</v>
      </c>
      <c r="N2090" s="50" t="e">
        <f>#REF!+#REF!</f>
        <v>#REF!</v>
      </c>
      <c r="O2090" s="50">
        <f t="shared" si="585"/>
        <v>0</v>
      </c>
      <c r="P2090" s="50">
        <f t="shared" si="585"/>
        <v>5300</v>
      </c>
      <c r="Q2090" s="50">
        <f t="shared" si="585"/>
        <v>3014</v>
      </c>
      <c r="R2090" s="50">
        <f t="shared" si="585"/>
        <v>11950</v>
      </c>
      <c r="T2090" s="50" t="e">
        <f t="shared" si="578"/>
        <v>#REF!</v>
      </c>
    </row>
    <row r="2091" spans="2:20" ht="23.25" hidden="1" customHeight="1" x14ac:dyDescent="0.25">
      <c r="B2091" s="97">
        <f t="shared" si="579"/>
        <v>44</v>
      </c>
      <c r="C2091" s="51"/>
      <c r="D2091" s="51"/>
      <c r="E2091" s="51" t="s">
        <v>60</v>
      </c>
      <c r="F2091" s="51"/>
      <c r="G2091" s="124"/>
      <c r="H2091" s="51"/>
      <c r="I2091" s="52">
        <f>I2092+I2093+I2098+I2099</f>
        <v>35900</v>
      </c>
      <c r="J2091" s="52">
        <f>J2100+J2099+J2093+J2092</f>
        <v>29100</v>
      </c>
      <c r="K2091" s="52">
        <f>K2100+K2099+K2093+K2092</f>
        <v>29100</v>
      </c>
      <c r="L2091" s="52">
        <f>L2100+L2099+L2093+L2092</f>
        <v>27643.680000000004</v>
      </c>
      <c r="M2091" s="52">
        <f>M2100+M2099+M2093+M2092+M2098</f>
        <v>38233</v>
      </c>
      <c r="N2091" s="52">
        <f>N2101+N2103</f>
        <v>64300</v>
      </c>
      <c r="O2091" s="52">
        <f>O2100+O2099+O2093+O2092</f>
        <v>0</v>
      </c>
      <c r="P2091" s="52">
        <f>P2100+P2099+P2093+P2092</f>
        <v>5300</v>
      </c>
      <c r="Q2091" s="52">
        <f>Q2100+Q2099+Q2093+Q2092</f>
        <v>3014</v>
      </c>
      <c r="R2091" s="52">
        <f>R2100+R2099+R2093+R2092</f>
        <v>11950</v>
      </c>
      <c r="T2091" s="52">
        <f t="shared" si="578"/>
        <v>100200</v>
      </c>
    </row>
    <row r="2092" spans="2:20" x14ac:dyDescent="0.25">
      <c r="B2092" s="97">
        <f t="shared" si="579"/>
        <v>45</v>
      </c>
      <c r="C2092" s="29"/>
      <c r="D2092" s="29"/>
      <c r="E2092" s="29"/>
      <c r="F2092" s="53" t="s">
        <v>343</v>
      </c>
      <c r="G2092" s="125">
        <v>620</v>
      </c>
      <c r="H2092" s="29" t="s">
        <v>313</v>
      </c>
      <c r="I2092" s="15">
        <v>3600</v>
      </c>
      <c r="J2092" s="15">
        <v>2400</v>
      </c>
      <c r="K2092" s="15">
        <v>2400</v>
      </c>
      <c r="L2092" s="15">
        <v>1630.2</v>
      </c>
      <c r="M2092" s="15">
        <v>1802</v>
      </c>
      <c r="N2092" s="15"/>
      <c r="O2092" s="15"/>
      <c r="P2092" s="15"/>
      <c r="Q2092" s="15"/>
      <c r="R2092" s="15"/>
      <c r="T2092" s="15">
        <f t="shared" si="578"/>
        <v>3600</v>
      </c>
    </row>
    <row r="2093" spans="2:20" x14ac:dyDescent="0.25">
      <c r="B2093" s="97">
        <f t="shared" si="579"/>
        <v>46</v>
      </c>
      <c r="C2093" s="29"/>
      <c r="D2093" s="29"/>
      <c r="E2093" s="29"/>
      <c r="F2093" s="53" t="s">
        <v>343</v>
      </c>
      <c r="G2093" s="125">
        <v>630</v>
      </c>
      <c r="H2093" s="29" t="s">
        <v>303</v>
      </c>
      <c r="I2093" s="15">
        <f>SUM(I2094:I2097)</f>
        <v>32300</v>
      </c>
      <c r="J2093" s="15">
        <f t="shared" ref="J2093:M2093" si="586">J2097+J2096+J2095+J2094</f>
        <v>26700</v>
      </c>
      <c r="K2093" s="15">
        <f t="shared" si="586"/>
        <v>26700</v>
      </c>
      <c r="L2093" s="15">
        <f t="shared" si="586"/>
        <v>26013.480000000003</v>
      </c>
      <c r="M2093" s="15">
        <f t="shared" si="586"/>
        <v>21454</v>
      </c>
      <c r="N2093" s="15"/>
      <c r="O2093" s="15"/>
      <c r="P2093" s="15"/>
      <c r="Q2093" s="15"/>
      <c r="R2093" s="15"/>
      <c r="T2093" s="15">
        <f t="shared" si="578"/>
        <v>32300</v>
      </c>
    </row>
    <row r="2094" spans="2:20" x14ac:dyDescent="0.25">
      <c r="B2094" s="97">
        <f t="shared" si="579"/>
        <v>47</v>
      </c>
      <c r="C2094" s="9"/>
      <c r="D2094" s="9"/>
      <c r="E2094" s="9"/>
      <c r="F2094" s="54" t="s">
        <v>343</v>
      </c>
      <c r="G2094" s="126">
        <v>632</v>
      </c>
      <c r="H2094" s="9" t="s">
        <v>314</v>
      </c>
      <c r="I2094" s="10">
        <v>11000</v>
      </c>
      <c r="J2094" s="10">
        <v>9500</v>
      </c>
      <c r="K2094" s="10">
        <v>9500</v>
      </c>
      <c r="L2094" s="10">
        <v>9847.85</v>
      </c>
      <c r="M2094" s="10">
        <v>0</v>
      </c>
      <c r="N2094" s="10"/>
      <c r="O2094" s="10"/>
      <c r="P2094" s="10"/>
      <c r="Q2094" s="10"/>
      <c r="R2094" s="10"/>
      <c r="T2094" s="10">
        <f t="shared" si="578"/>
        <v>11000</v>
      </c>
    </row>
    <row r="2095" spans="2:20" x14ac:dyDescent="0.25">
      <c r="B2095" s="97">
        <f t="shared" si="579"/>
        <v>48</v>
      </c>
      <c r="C2095" s="9"/>
      <c r="D2095" s="9"/>
      <c r="E2095" s="9"/>
      <c r="F2095" s="54" t="s">
        <v>343</v>
      </c>
      <c r="G2095" s="126">
        <v>633</v>
      </c>
      <c r="H2095" s="9" t="s">
        <v>305</v>
      </c>
      <c r="I2095" s="10">
        <v>5000</v>
      </c>
      <c r="J2095" s="10">
        <v>5000</v>
      </c>
      <c r="K2095" s="10">
        <v>5000</v>
      </c>
      <c r="L2095" s="10">
        <v>5736.03</v>
      </c>
      <c r="M2095" s="10">
        <f>653+1998+3540</f>
        <v>6191</v>
      </c>
      <c r="N2095" s="10"/>
      <c r="O2095" s="10"/>
      <c r="P2095" s="10"/>
      <c r="Q2095" s="10"/>
      <c r="R2095" s="10"/>
      <c r="T2095" s="10">
        <f t="shared" si="578"/>
        <v>5000</v>
      </c>
    </row>
    <row r="2096" spans="2:20" x14ac:dyDescent="0.25">
      <c r="B2096" s="97">
        <f t="shared" si="579"/>
        <v>49</v>
      </c>
      <c r="C2096" s="9"/>
      <c r="D2096" s="9"/>
      <c r="E2096" s="9"/>
      <c r="F2096" s="54" t="s">
        <v>343</v>
      </c>
      <c r="G2096" s="126">
        <v>635</v>
      </c>
      <c r="H2096" s="9" t="s">
        <v>320</v>
      </c>
      <c r="I2096" s="10">
        <v>0</v>
      </c>
      <c r="J2096" s="10">
        <v>0</v>
      </c>
      <c r="K2096" s="10"/>
      <c r="L2096" s="10"/>
      <c r="M2096" s="10">
        <f>6460+520</f>
        <v>6980</v>
      </c>
      <c r="N2096" s="10"/>
      <c r="O2096" s="10"/>
      <c r="P2096" s="10"/>
      <c r="Q2096" s="10"/>
      <c r="R2096" s="10"/>
      <c r="T2096" s="10">
        <f t="shared" si="578"/>
        <v>0</v>
      </c>
    </row>
    <row r="2097" spans="2:20" x14ac:dyDescent="0.25">
      <c r="B2097" s="97">
        <f t="shared" si="579"/>
        <v>50</v>
      </c>
      <c r="C2097" s="9"/>
      <c r="D2097" s="9"/>
      <c r="E2097" s="9"/>
      <c r="F2097" s="54" t="s">
        <v>343</v>
      </c>
      <c r="G2097" s="126">
        <v>637</v>
      </c>
      <c r="H2097" s="9" t="s">
        <v>308</v>
      </c>
      <c r="I2097" s="10">
        <v>16300</v>
      </c>
      <c r="J2097" s="10">
        <v>12200</v>
      </c>
      <c r="K2097" s="10">
        <v>12200</v>
      </c>
      <c r="L2097" s="10">
        <f>10392.6+37</f>
        <v>10429.6</v>
      </c>
      <c r="M2097" s="10">
        <f>1614+6669</f>
        <v>8283</v>
      </c>
      <c r="N2097" s="10"/>
      <c r="O2097" s="10"/>
      <c r="P2097" s="10"/>
      <c r="Q2097" s="10"/>
      <c r="R2097" s="10"/>
      <c r="T2097" s="10">
        <f t="shared" si="578"/>
        <v>16300</v>
      </c>
    </row>
    <row r="2098" spans="2:20" x14ac:dyDescent="0.25">
      <c r="B2098" s="97">
        <f t="shared" si="579"/>
        <v>51</v>
      </c>
      <c r="C2098" s="9"/>
      <c r="D2098" s="9"/>
      <c r="E2098" s="9"/>
      <c r="F2098" s="54" t="s">
        <v>343</v>
      </c>
      <c r="G2098" s="129">
        <v>630</v>
      </c>
      <c r="H2098" s="7" t="s">
        <v>607</v>
      </c>
      <c r="I2098" s="10">
        <v>0</v>
      </c>
      <c r="J2098" s="10"/>
      <c r="K2098" s="10"/>
      <c r="L2098" s="10"/>
      <c r="M2098" s="8">
        <v>13059</v>
      </c>
      <c r="N2098" s="10"/>
      <c r="O2098" s="10"/>
      <c r="P2098" s="10"/>
      <c r="Q2098" s="10"/>
      <c r="R2098" s="10"/>
      <c r="T2098" s="10">
        <f t="shared" si="578"/>
        <v>0</v>
      </c>
    </row>
    <row r="2099" spans="2:20" x14ac:dyDescent="0.25">
      <c r="B2099" s="97">
        <f t="shared" si="579"/>
        <v>52</v>
      </c>
      <c r="C2099" s="29"/>
      <c r="D2099" s="29"/>
      <c r="E2099" s="29"/>
      <c r="F2099" s="53" t="s">
        <v>343</v>
      </c>
      <c r="G2099" s="125">
        <v>640</v>
      </c>
      <c r="H2099" s="29" t="s">
        <v>315</v>
      </c>
      <c r="I2099" s="15"/>
      <c r="J2099" s="15"/>
      <c r="K2099" s="15"/>
      <c r="L2099" s="15"/>
      <c r="M2099" s="15">
        <f>418+1500</f>
        <v>1918</v>
      </c>
      <c r="N2099" s="15"/>
      <c r="O2099" s="15"/>
      <c r="P2099" s="15"/>
      <c r="Q2099" s="15"/>
      <c r="R2099" s="15"/>
      <c r="T2099" s="15">
        <f t="shared" si="578"/>
        <v>0</v>
      </c>
    </row>
    <row r="2100" spans="2:20" x14ac:dyDescent="0.25">
      <c r="B2100" s="97">
        <f t="shared" si="579"/>
        <v>53</v>
      </c>
      <c r="C2100" s="29"/>
      <c r="D2100" s="29"/>
      <c r="E2100" s="29"/>
      <c r="F2100" s="53" t="s">
        <v>343</v>
      </c>
      <c r="G2100" s="125">
        <v>710</v>
      </c>
      <c r="H2100" s="29" t="s">
        <v>321</v>
      </c>
      <c r="I2100" s="15"/>
      <c r="J2100" s="15"/>
      <c r="K2100" s="15"/>
      <c r="L2100" s="15"/>
      <c r="M2100" s="15"/>
      <c r="N2100" s="15">
        <f>N2101</f>
        <v>24000</v>
      </c>
      <c r="O2100" s="15"/>
      <c r="P2100" s="15">
        <f>P2103+P2101</f>
        <v>5300</v>
      </c>
      <c r="Q2100" s="15">
        <f>Q2103+Q2101</f>
        <v>3014</v>
      </c>
      <c r="R2100" s="15">
        <f>R2103+R2101</f>
        <v>11950</v>
      </c>
      <c r="T2100" s="15">
        <f t="shared" si="578"/>
        <v>24000</v>
      </c>
    </row>
    <row r="2101" spans="2:20" x14ac:dyDescent="0.25">
      <c r="B2101" s="97">
        <f t="shared" si="579"/>
        <v>54</v>
      </c>
      <c r="C2101" s="9"/>
      <c r="D2101" s="9"/>
      <c r="E2101" s="9"/>
      <c r="F2101" s="54" t="s">
        <v>343</v>
      </c>
      <c r="G2101" s="126">
        <v>716</v>
      </c>
      <c r="H2101" s="9" t="s">
        <v>323</v>
      </c>
      <c r="I2101" s="10"/>
      <c r="J2101" s="10"/>
      <c r="K2101" s="10"/>
      <c r="L2101" s="10"/>
      <c r="M2101" s="10"/>
      <c r="N2101" s="10">
        <f>N2102</f>
        <v>24000</v>
      </c>
      <c r="O2101" s="10"/>
      <c r="P2101" s="10">
        <f t="shared" ref="P2101:R2101" si="587">P2102</f>
        <v>5300</v>
      </c>
      <c r="Q2101" s="10">
        <f t="shared" si="587"/>
        <v>0</v>
      </c>
      <c r="R2101" s="10">
        <f t="shared" si="587"/>
        <v>2000</v>
      </c>
      <c r="T2101" s="10">
        <f t="shared" si="578"/>
        <v>24000</v>
      </c>
    </row>
    <row r="2102" spans="2:20" x14ac:dyDescent="0.25">
      <c r="B2102" s="97">
        <f t="shared" si="579"/>
        <v>55</v>
      </c>
      <c r="C2102" s="12"/>
      <c r="D2102" s="12"/>
      <c r="E2102" s="12"/>
      <c r="F2102" s="12"/>
      <c r="G2102" s="127"/>
      <c r="H2102" s="12" t="s">
        <v>608</v>
      </c>
      <c r="I2102" s="13"/>
      <c r="J2102" s="13"/>
      <c r="K2102" s="13"/>
      <c r="L2102" s="13"/>
      <c r="M2102" s="13"/>
      <c r="N2102" s="13">
        <v>24000</v>
      </c>
      <c r="O2102" s="13"/>
      <c r="P2102" s="13">
        <v>5300</v>
      </c>
      <c r="Q2102" s="13"/>
      <c r="R2102" s="13">
        <v>2000</v>
      </c>
      <c r="T2102" s="13">
        <f t="shared" si="578"/>
        <v>24000</v>
      </c>
    </row>
    <row r="2103" spans="2:20" x14ac:dyDescent="0.25">
      <c r="B2103" s="97">
        <f t="shared" si="579"/>
        <v>56</v>
      </c>
      <c r="C2103" s="9"/>
      <c r="D2103" s="9"/>
      <c r="E2103" s="9"/>
      <c r="F2103" s="54" t="s">
        <v>343</v>
      </c>
      <c r="G2103" s="126">
        <v>717</v>
      </c>
      <c r="H2103" s="9" t="s">
        <v>327</v>
      </c>
      <c r="I2103" s="10"/>
      <c r="J2103" s="10"/>
      <c r="K2103" s="10"/>
      <c r="L2103" s="10"/>
      <c r="M2103" s="10"/>
      <c r="N2103" s="10">
        <f>N2104+N2106+N2105</f>
        <v>40300</v>
      </c>
      <c r="O2103" s="10"/>
      <c r="P2103" s="10">
        <v>0</v>
      </c>
      <c r="Q2103" s="10">
        <v>3014</v>
      </c>
      <c r="R2103" s="10">
        <v>9950</v>
      </c>
      <c r="T2103" s="10">
        <f t="shared" si="578"/>
        <v>40300</v>
      </c>
    </row>
    <row r="2104" spans="2:20" x14ac:dyDescent="0.25">
      <c r="B2104" s="97">
        <f t="shared" si="579"/>
        <v>57</v>
      </c>
      <c r="C2104" s="9"/>
      <c r="D2104" s="9"/>
      <c r="E2104" s="9"/>
      <c r="F2104" s="54"/>
      <c r="G2104" s="126"/>
      <c r="H2104" s="12" t="s">
        <v>867</v>
      </c>
      <c r="I2104" s="10"/>
      <c r="J2104" s="10"/>
      <c r="K2104" s="10"/>
      <c r="L2104" s="10"/>
      <c r="M2104" s="10"/>
      <c r="N2104" s="13">
        <v>15000</v>
      </c>
      <c r="O2104" s="10"/>
      <c r="P2104" s="10"/>
      <c r="Q2104" s="10"/>
      <c r="R2104" s="10"/>
      <c r="T2104" s="10">
        <f t="shared" si="578"/>
        <v>15000</v>
      </c>
    </row>
    <row r="2105" spans="2:20" x14ac:dyDescent="0.25">
      <c r="B2105" s="97">
        <f t="shared" si="579"/>
        <v>58</v>
      </c>
      <c r="C2105" s="9"/>
      <c r="D2105" s="9"/>
      <c r="E2105" s="9"/>
      <c r="F2105" s="54"/>
      <c r="G2105" s="126"/>
      <c r="H2105" s="12" t="s">
        <v>961</v>
      </c>
      <c r="I2105" s="10"/>
      <c r="J2105" s="10"/>
      <c r="K2105" s="10"/>
      <c r="L2105" s="10"/>
      <c r="M2105" s="10"/>
      <c r="N2105" s="13">
        <v>5300</v>
      </c>
      <c r="O2105" s="10"/>
      <c r="P2105" s="10"/>
      <c r="Q2105" s="10"/>
      <c r="R2105" s="10"/>
      <c r="T2105" s="10"/>
    </row>
    <row r="2106" spans="2:20" x14ac:dyDescent="0.25">
      <c r="B2106" s="97">
        <f t="shared" si="579"/>
        <v>59</v>
      </c>
      <c r="C2106" s="9"/>
      <c r="D2106" s="9"/>
      <c r="E2106" s="9"/>
      <c r="F2106" s="54"/>
      <c r="G2106" s="126"/>
      <c r="H2106" s="12" t="s">
        <v>869</v>
      </c>
      <c r="I2106" s="10"/>
      <c r="J2106" s="10"/>
      <c r="K2106" s="10"/>
      <c r="L2106" s="10"/>
      <c r="M2106" s="10"/>
      <c r="N2106" s="13">
        <v>20000</v>
      </c>
      <c r="O2106" s="10"/>
      <c r="P2106" s="10"/>
      <c r="Q2106" s="10"/>
      <c r="R2106" s="10"/>
      <c r="T2106" s="10">
        <f t="shared" si="578"/>
        <v>20000</v>
      </c>
    </row>
    <row r="2107" spans="2:20" x14ac:dyDescent="0.25">
      <c r="B2107" s="97">
        <f t="shared" si="579"/>
        <v>60</v>
      </c>
      <c r="C2107" s="49"/>
      <c r="D2107" s="49"/>
      <c r="E2107" s="49">
        <v>2</v>
      </c>
      <c r="F2107" s="49"/>
      <c r="G2107" s="123"/>
      <c r="H2107" s="49" t="s">
        <v>59</v>
      </c>
      <c r="I2107" s="50">
        <f>I2108</f>
        <v>135800</v>
      </c>
      <c r="J2107" s="50">
        <f t="shared" ref="J2107:M2108" si="588">J2108</f>
        <v>134800</v>
      </c>
      <c r="K2107" s="50">
        <f t="shared" si="588"/>
        <v>134800</v>
      </c>
      <c r="L2107" s="50">
        <f t="shared" si="588"/>
        <v>109200</v>
      </c>
      <c r="M2107" s="50">
        <f t="shared" si="588"/>
        <v>118812</v>
      </c>
      <c r="N2107" s="50"/>
      <c r="O2107" s="50">
        <f t="shared" ref="O2107:R2108" si="589">O2108</f>
        <v>0</v>
      </c>
      <c r="P2107" s="50">
        <f t="shared" si="589"/>
        <v>5000</v>
      </c>
      <c r="Q2107" s="50">
        <f t="shared" si="589"/>
        <v>0</v>
      </c>
      <c r="R2107" s="50">
        <f t="shared" si="589"/>
        <v>0</v>
      </c>
      <c r="T2107" s="50">
        <f t="shared" si="578"/>
        <v>135800</v>
      </c>
    </row>
    <row r="2108" spans="2:20" ht="20.25" hidden="1" customHeight="1" x14ac:dyDescent="0.25">
      <c r="B2108" s="97">
        <f t="shared" si="579"/>
        <v>61</v>
      </c>
      <c r="C2108" s="51"/>
      <c r="D2108" s="51"/>
      <c r="E2108" s="51" t="s">
        <v>60</v>
      </c>
      <c r="F2108" s="51"/>
      <c r="G2108" s="124"/>
      <c r="H2108" s="51" t="s">
        <v>606</v>
      </c>
      <c r="I2108" s="52">
        <f>I2109</f>
        <v>135800</v>
      </c>
      <c r="J2108" s="52">
        <f t="shared" si="588"/>
        <v>134800</v>
      </c>
      <c r="K2108" s="52">
        <f t="shared" si="588"/>
        <v>134800</v>
      </c>
      <c r="L2108" s="52">
        <f t="shared" si="588"/>
        <v>109200</v>
      </c>
      <c r="M2108" s="52">
        <f t="shared" si="588"/>
        <v>118812</v>
      </c>
      <c r="N2108" s="52"/>
      <c r="O2108" s="52">
        <f t="shared" si="589"/>
        <v>0</v>
      </c>
      <c r="P2108" s="52">
        <f>P2109+P2114</f>
        <v>5000</v>
      </c>
      <c r="Q2108" s="52">
        <f t="shared" si="589"/>
        <v>0</v>
      </c>
      <c r="R2108" s="52">
        <f t="shared" si="589"/>
        <v>0</v>
      </c>
      <c r="T2108" s="52">
        <f t="shared" si="578"/>
        <v>135800</v>
      </c>
    </row>
    <row r="2109" spans="2:20" x14ac:dyDescent="0.25">
      <c r="B2109" s="97">
        <f t="shared" si="579"/>
        <v>62</v>
      </c>
      <c r="C2109" s="29"/>
      <c r="D2109" s="29"/>
      <c r="E2109" s="29"/>
      <c r="F2109" s="53" t="s">
        <v>343</v>
      </c>
      <c r="G2109" s="125">
        <v>630</v>
      </c>
      <c r="H2109" s="29" t="s">
        <v>303</v>
      </c>
      <c r="I2109" s="15">
        <f>SUM(I2110:I2113)</f>
        <v>135800</v>
      </c>
      <c r="J2109" s="15">
        <f t="shared" ref="J2109:M2109" si="590">J2113+J2112+J2111+J2110</f>
        <v>134800</v>
      </c>
      <c r="K2109" s="15">
        <f t="shared" si="590"/>
        <v>134800</v>
      </c>
      <c r="L2109" s="15">
        <f t="shared" si="590"/>
        <v>109200</v>
      </c>
      <c r="M2109" s="15">
        <f t="shared" si="590"/>
        <v>118812</v>
      </c>
      <c r="N2109" s="15"/>
      <c r="O2109" s="15"/>
      <c r="P2109" s="15"/>
      <c r="Q2109" s="15"/>
      <c r="R2109" s="15"/>
      <c r="T2109" s="15">
        <f t="shared" si="578"/>
        <v>135800</v>
      </c>
    </row>
    <row r="2110" spans="2:20" x14ac:dyDescent="0.25">
      <c r="B2110" s="97">
        <f t="shared" si="579"/>
        <v>63</v>
      </c>
      <c r="C2110" s="9"/>
      <c r="D2110" s="9"/>
      <c r="E2110" s="9"/>
      <c r="F2110" s="54" t="s">
        <v>343</v>
      </c>
      <c r="G2110" s="126">
        <v>632</v>
      </c>
      <c r="H2110" s="9" t="s">
        <v>314</v>
      </c>
      <c r="I2110" s="10">
        <v>115000</v>
      </c>
      <c r="J2110" s="10">
        <v>114000</v>
      </c>
      <c r="K2110" s="10">
        <v>114000</v>
      </c>
      <c r="L2110" s="10">
        <v>96682</v>
      </c>
      <c r="M2110" s="10">
        <v>108947</v>
      </c>
      <c r="N2110" s="10"/>
      <c r="O2110" s="10"/>
      <c r="P2110" s="10"/>
      <c r="Q2110" s="10"/>
      <c r="R2110" s="10"/>
      <c r="T2110" s="10">
        <f t="shared" si="578"/>
        <v>115000</v>
      </c>
    </row>
    <row r="2111" spans="2:20" x14ac:dyDescent="0.25">
      <c r="B2111" s="97">
        <f t="shared" si="579"/>
        <v>64</v>
      </c>
      <c r="C2111" s="9"/>
      <c r="D2111" s="9"/>
      <c r="E2111" s="9"/>
      <c r="F2111" s="54" t="s">
        <v>343</v>
      </c>
      <c r="G2111" s="126">
        <v>633</v>
      </c>
      <c r="H2111" s="9" t="s">
        <v>305</v>
      </c>
      <c r="I2111" s="10">
        <v>2500</v>
      </c>
      <c r="J2111" s="10">
        <v>2500</v>
      </c>
      <c r="K2111" s="10">
        <v>5500</v>
      </c>
      <c r="L2111" s="10">
        <v>1747</v>
      </c>
      <c r="M2111" s="10">
        <v>1053</v>
      </c>
      <c r="N2111" s="10"/>
      <c r="O2111" s="10"/>
      <c r="P2111" s="10"/>
      <c r="Q2111" s="10"/>
      <c r="R2111" s="10"/>
      <c r="T2111" s="10">
        <f t="shared" si="578"/>
        <v>2500</v>
      </c>
    </row>
    <row r="2112" spans="2:20" x14ac:dyDescent="0.25">
      <c r="B2112" s="97">
        <f t="shared" si="579"/>
        <v>65</v>
      </c>
      <c r="C2112" s="9"/>
      <c r="D2112" s="9"/>
      <c r="E2112" s="9"/>
      <c r="F2112" s="54" t="s">
        <v>343</v>
      </c>
      <c r="G2112" s="126">
        <v>635</v>
      </c>
      <c r="H2112" s="9" t="s">
        <v>320</v>
      </c>
      <c r="I2112" s="10">
        <v>10500</v>
      </c>
      <c r="J2112" s="10">
        <v>10500</v>
      </c>
      <c r="K2112" s="10">
        <v>7500</v>
      </c>
      <c r="L2112" s="10">
        <v>8345</v>
      </c>
      <c r="M2112" s="10">
        <v>5268</v>
      </c>
      <c r="N2112" s="10"/>
      <c r="O2112" s="10"/>
      <c r="P2112" s="10"/>
      <c r="Q2112" s="10"/>
      <c r="R2112" s="10"/>
      <c r="T2112" s="10">
        <f t="shared" si="578"/>
        <v>10500</v>
      </c>
    </row>
    <row r="2113" spans="2:20" x14ac:dyDescent="0.25">
      <c r="B2113" s="97">
        <f t="shared" si="579"/>
        <v>66</v>
      </c>
      <c r="C2113" s="9"/>
      <c r="D2113" s="9"/>
      <c r="E2113" s="9"/>
      <c r="F2113" s="54" t="s">
        <v>343</v>
      </c>
      <c r="G2113" s="126">
        <v>637</v>
      </c>
      <c r="H2113" s="9" t="s">
        <v>308</v>
      </c>
      <c r="I2113" s="10">
        <v>7800</v>
      </c>
      <c r="J2113" s="10">
        <v>7800</v>
      </c>
      <c r="K2113" s="10">
        <v>7800</v>
      </c>
      <c r="L2113" s="10">
        <v>2426</v>
      </c>
      <c r="M2113" s="10">
        <v>3544</v>
      </c>
      <c r="N2113" s="10"/>
      <c r="O2113" s="10"/>
      <c r="P2113" s="10"/>
      <c r="Q2113" s="10"/>
      <c r="R2113" s="10"/>
      <c r="T2113" s="10">
        <f t="shared" ref="T2113:T2121" si="591">I2113+N2113</f>
        <v>7800</v>
      </c>
    </row>
    <row r="2114" spans="2:20" x14ac:dyDescent="0.25">
      <c r="B2114" s="97">
        <f t="shared" si="579"/>
        <v>67</v>
      </c>
      <c r="C2114" s="9"/>
      <c r="D2114" s="63"/>
      <c r="E2114" s="9"/>
      <c r="F2114" s="53" t="s">
        <v>343</v>
      </c>
      <c r="G2114" s="125">
        <v>710</v>
      </c>
      <c r="H2114" s="29" t="s">
        <v>321</v>
      </c>
      <c r="I2114" s="10"/>
      <c r="J2114" s="10"/>
      <c r="K2114" s="10"/>
      <c r="L2114" s="10"/>
      <c r="M2114" s="10"/>
      <c r="N2114" s="10"/>
      <c r="O2114" s="10"/>
      <c r="P2114" s="8">
        <f>P2115</f>
        <v>5000</v>
      </c>
      <c r="Q2114" s="10"/>
      <c r="R2114" s="10"/>
      <c r="T2114" s="10">
        <f t="shared" si="591"/>
        <v>0</v>
      </c>
    </row>
    <row r="2115" spans="2:20" x14ac:dyDescent="0.25">
      <c r="B2115" s="97">
        <f t="shared" si="579"/>
        <v>68</v>
      </c>
      <c r="C2115" s="9"/>
      <c r="D2115" s="63"/>
      <c r="E2115" s="9"/>
      <c r="F2115" s="54" t="s">
        <v>343</v>
      </c>
      <c r="G2115" s="126">
        <v>717</v>
      </c>
      <c r="H2115" s="9" t="s">
        <v>327</v>
      </c>
      <c r="I2115" s="10"/>
      <c r="J2115" s="10"/>
      <c r="K2115" s="10"/>
      <c r="L2115" s="10"/>
      <c r="M2115" s="10"/>
      <c r="N2115" s="10"/>
      <c r="O2115" s="10"/>
      <c r="P2115" s="10">
        <v>5000</v>
      </c>
      <c r="Q2115" s="10"/>
      <c r="R2115" s="10"/>
      <c r="T2115" s="10">
        <f t="shared" si="591"/>
        <v>0</v>
      </c>
    </row>
    <row r="2116" spans="2:20" ht="15.75" x14ac:dyDescent="0.25">
      <c r="B2116" s="97">
        <f t="shared" ref="B2116:B2121" si="592">B2115+1</f>
        <v>69</v>
      </c>
      <c r="C2116" s="45">
        <v>4</v>
      </c>
      <c r="D2116" s="293" t="s">
        <v>609</v>
      </c>
      <c r="E2116" s="294"/>
      <c r="F2116" s="294"/>
      <c r="G2116" s="294"/>
      <c r="H2116" s="295"/>
      <c r="I2116" s="46">
        <v>0</v>
      </c>
      <c r="J2116" s="46">
        <f t="shared" ref="J2116:M2119" si="593">J2117</f>
        <v>0</v>
      </c>
      <c r="K2116" s="46">
        <f t="shared" si="593"/>
        <v>0</v>
      </c>
      <c r="L2116" s="46">
        <f t="shared" si="593"/>
        <v>0</v>
      </c>
      <c r="M2116" s="46">
        <f t="shared" si="593"/>
        <v>0</v>
      </c>
      <c r="N2116" s="46">
        <f>N2120</f>
        <v>18320</v>
      </c>
      <c r="O2116" s="46">
        <f t="shared" ref="O2116:R2120" si="594">O2117</f>
        <v>18320</v>
      </c>
      <c r="P2116" s="46">
        <f t="shared" si="594"/>
        <v>18320</v>
      </c>
      <c r="Q2116" s="46">
        <f t="shared" si="594"/>
        <v>18311</v>
      </c>
      <c r="R2116" s="46">
        <f t="shared" si="594"/>
        <v>18311</v>
      </c>
      <c r="T2116" s="46">
        <f t="shared" si="591"/>
        <v>18320</v>
      </c>
    </row>
    <row r="2117" spans="2:20" hidden="1" x14ac:dyDescent="0.25">
      <c r="B2117" s="97">
        <f t="shared" si="592"/>
        <v>70</v>
      </c>
      <c r="C2117" s="47"/>
      <c r="D2117" s="47" t="s">
        <v>60</v>
      </c>
      <c r="E2117" s="296"/>
      <c r="F2117" s="294"/>
      <c r="G2117" s="294"/>
      <c r="H2117" s="295"/>
      <c r="I2117" s="48" t="e">
        <f>#REF!+#REF!</f>
        <v>#REF!</v>
      </c>
      <c r="J2117" s="48">
        <f t="shared" si="593"/>
        <v>0</v>
      </c>
      <c r="K2117" s="48">
        <f t="shared" si="593"/>
        <v>0</v>
      </c>
      <c r="L2117" s="48">
        <f t="shared" si="593"/>
        <v>0</v>
      </c>
      <c r="M2117" s="48">
        <f t="shared" si="593"/>
        <v>0</v>
      </c>
      <c r="N2117" s="48" t="e">
        <f>#REF!+#REF!</f>
        <v>#REF!</v>
      </c>
      <c r="O2117" s="48">
        <f t="shared" si="594"/>
        <v>18320</v>
      </c>
      <c r="P2117" s="48">
        <f t="shared" si="594"/>
        <v>18320</v>
      </c>
      <c r="Q2117" s="48">
        <f t="shared" si="594"/>
        <v>18311</v>
      </c>
      <c r="R2117" s="48">
        <f t="shared" si="594"/>
        <v>18311</v>
      </c>
      <c r="T2117" s="48" t="e">
        <f t="shared" si="591"/>
        <v>#REF!</v>
      </c>
    </row>
    <row r="2118" spans="2:20" hidden="1" x14ac:dyDescent="0.25">
      <c r="B2118" s="97">
        <f t="shared" si="592"/>
        <v>71</v>
      </c>
      <c r="C2118" s="49"/>
      <c r="D2118" s="49"/>
      <c r="E2118" s="49"/>
      <c r="F2118" s="49"/>
      <c r="G2118" s="123"/>
      <c r="H2118" s="49" t="s">
        <v>12</v>
      </c>
      <c r="I2118" s="50" t="e">
        <f>#REF!+#REF!</f>
        <v>#REF!</v>
      </c>
      <c r="J2118" s="50">
        <f t="shared" si="593"/>
        <v>0</v>
      </c>
      <c r="K2118" s="50">
        <f t="shared" si="593"/>
        <v>0</v>
      </c>
      <c r="L2118" s="50">
        <f t="shared" si="593"/>
        <v>0</v>
      </c>
      <c r="M2118" s="50">
        <f t="shared" si="593"/>
        <v>0</v>
      </c>
      <c r="N2118" s="50" t="e">
        <f>#REF!+#REF!</f>
        <v>#REF!</v>
      </c>
      <c r="O2118" s="50">
        <f t="shared" si="594"/>
        <v>18320</v>
      </c>
      <c r="P2118" s="50">
        <f t="shared" si="594"/>
        <v>18320</v>
      </c>
      <c r="Q2118" s="50">
        <f t="shared" si="594"/>
        <v>18311</v>
      </c>
      <c r="R2118" s="50">
        <f t="shared" si="594"/>
        <v>18311</v>
      </c>
      <c r="T2118" s="50" t="e">
        <f t="shared" si="591"/>
        <v>#REF!</v>
      </c>
    </row>
    <row r="2119" spans="2:20" hidden="1" x14ac:dyDescent="0.25">
      <c r="B2119" s="97">
        <f t="shared" si="592"/>
        <v>72</v>
      </c>
      <c r="C2119" s="51"/>
      <c r="D2119" s="51"/>
      <c r="E2119" s="51" t="s">
        <v>60</v>
      </c>
      <c r="F2119" s="51"/>
      <c r="G2119" s="124"/>
      <c r="H2119" s="51"/>
      <c r="I2119" s="52" t="e">
        <f>#REF!+#REF!</f>
        <v>#REF!</v>
      </c>
      <c r="J2119" s="52">
        <f t="shared" si="593"/>
        <v>0</v>
      </c>
      <c r="K2119" s="52">
        <f t="shared" si="593"/>
        <v>0</v>
      </c>
      <c r="L2119" s="52">
        <f t="shared" si="593"/>
        <v>0</v>
      </c>
      <c r="M2119" s="52">
        <f t="shared" si="593"/>
        <v>0</v>
      </c>
      <c r="N2119" s="52" t="e">
        <f>#REF!+#REF!</f>
        <v>#REF!</v>
      </c>
      <c r="O2119" s="52">
        <f t="shared" si="594"/>
        <v>18320</v>
      </c>
      <c r="P2119" s="52">
        <f t="shared" si="594"/>
        <v>18320</v>
      </c>
      <c r="Q2119" s="52">
        <f t="shared" si="594"/>
        <v>18311</v>
      </c>
      <c r="R2119" s="52">
        <f t="shared" si="594"/>
        <v>18311</v>
      </c>
      <c r="T2119" s="52" t="e">
        <f t="shared" si="591"/>
        <v>#REF!</v>
      </c>
    </row>
    <row r="2120" spans="2:20" x14ac:dyDescent="0.25">
      <c r="B2120" s="97">
        <f t="shared" si="592"/>
        <v>73</v>
      </c>
      <c r="C2120" s="29"/>
      <c r="D2120" s="29"/>
      <c r="E2120" s="29"/>
      <c r="F2120" s="53" t="s">
        <v>343</v>
      </c>
      <c r="G2120" s="125">
        <v>710</v>
      </c>
      <c r="H2120" s="29" t="s">
        <v>321</v>
      </c>
      <c r="I2120" s="15"/>
      <c r="J2120" s="15"/>
      <c r="K2120" s="15"/>
      <c r="L2120" s="15"/>
      <c r="M2120" s="15"/>
      <c r="N2120" s="15">
        <f>N2121</f>
        <v>18320</v>
      </c>
      <c r="O2120" s="15">
        <f t="shared" si="594"/>
        <v>18320</v>
      </c>
      <c r="P2120" s="15">
        <f t="shared" si="594"/>
        <v>18320</v>
      </c>
      <c r="Q2120" s="15">
        <f t="shared" si="594"/>
        <v>18311</v>
      </c>
      <c r="R2120" s="15">
        <f t="shared" si="594"/>
        <v>18311</v>
      </c>
      <c r="T2120" s="15">
        <f t="shared" si="591"/>
        <v>18320</v>
      </c>
    </row>
    <row r="2121" spans="2:20" x14ac:dyDescent="0.25">
      <c r="B2121" s="97">
        <f t="shared" si="592"/>
        <v>74</v>
      </c>
      <c r="C2121" s="9"/>
      <c r="D2121" s="9"/>
      <c r="E2121" s="9"/>
      <c r="F2121" s="54" t="s">
        <v>343</v>
      </c>
      <c r="G2121" s="126">
        <v>717</v>
      </c>
      <c r="H2121" s="9" t="s">
        <v>327</v>
      </c>
      <c r="I2121" s="10"/>
      <c r="J2121" s="10"/>
      <c r="K2121" s="10"/>
      <c r="L2121" s="10"/>
      <c r="M2121" s="10"/>
      <c r="N2121" s="10">
        <v>18320</v>
      </c>
      <c r="O2121" s="10">
        <v>18320</v>
      </c>
      <c r="P2121" s="10">
        <v>18320</v>
      </c>
      <c r="Q2121" s="10">
        <v>18311</v>
      </c>
      <c r="R2121" s="10">
        <v>18311</v>
      </c>
      <c r="T2121" s="10">
        <f t="shared" si="591"/>
        <v>18320</v>
      </c>
    </row>
    <row r="2167" spans="2:20" ht="27" x14ac:dyDescent="0.35">
      <c r="B2167" s="310" t="s">
        <v>610</v>
      </c>
      <c r="C2167" s="311"/>
      <c r="D2167" s="311"/>
      <c r="E2167" s="311"/>
      <c r="F2167" s="311"/>
      <c r="G2167" s="311"/>
      <c r="H2167" s="311"/>
      <c r="I2167" s="311"/>
      <c r="J2167" s="311"/>
      <c r="K2167" s="311"/>
      <c r="L2167" s="311"/>
      <c r="M2167" s="311"/>
      <c r="N2167" s="311"/>
      <c r="O2167" s="311"/>
      <c r="P2167" s="311"/>
      <c r="Q2167" s="311"/>
      <c r="R2167" s="311"/>
    </row>
    <row r="2168" spans="2:20" ht="15.75" customHeight="1" x14ac:dyDescent="0.25">
      <c r="B2168" s="279" t="s">
        <v>286</v>
      </c>
      <c r="C2168" s="280"/>
      <c r="D2168" s="280"/>
      <c r="E2168" s="280"/>
      <c r="F2168" s="280"/>
      <c r="G2168" s="280"/>
      <c r="H2168" s="280"/>
      <c r="I2168" s="280"/>
      <c r="J2168" s="280"/>
      <c r="K2168" s="280"/>
      <c r="L2168" s="280"/>
      <c r="M2168" s="280"/>
      <c r="N2168" s="280"/>
      <c r="O2168" s="280"/>
      <c r="P2168" s="280"/>
      <c r="Q2168" s="280"/>
      <c r="R2168" s="281"/>
      <c r="T2168" s="314" t="s">
        <v>937</v>
      </c>
    </row>
    <row r="2169" spans="2:20" ht="12.75" customHeight="1" x14ac:dyDescent="0.25">
      <c r="B2169" s="282"/>
      <c r="C2169" s="285" t="s">
        <v>287</v>
      </c>
      <c r="D2169" s="285" t="s">
        <v>288</v>
      </c>
      <c r="E2169" s="285" t="s">
        <v>289</v>
      </c>
      <c r="F2169" s="285" t="s">
        <v>290</v>
      </c>
      <c r="G2169" s="303" t="s">
        <v>291</v>
      </c>
      <c r="H2169" s="305" t="s">
        <v>292</v>
      </c>
      <c r="I2169" s="308" t="s">
        <v>935</v>
      </c>
      <c r="J2169" s="299" t="s">
        <v>293</v>
      </c>
      <c r="K2169" s="299" t="s">
        <v>294</v>
      </c>
      <c r="L2169" s="288" t="s">
        <v>295</v>
      </c>
      <c r="M2169" s="288" t="s">
        <v>296</v>
      </c>
      <c r="N2169" s="301" t="s">
        <v>936</v>
      </c>
      <c r="O2169" s="297" t="s">
        <v>297</v>
      </c>
      <c r="P2169" s="299" t="s">
        <v>772</v>
      </c>
      <c r="Q2169" s="288" t="s">
        <v>298</v>
      </c>
      <c r="R2169" s="288" t="s">
        <v>299</v>
      </c>
      <c r="T2169" s="314"/>
    </row>
    <row r="2170" spans="2:20" x14ac:dyDescent="0.25">
      <c r="B2170" s="283"/>
      <c r="C2170" s="286"/>
      <c r="D2170" s="286"/>
      <c r="E2170" s="286"/>
      <c r="F2170" s="286"/>
      <c r="G2170" s="303"/>
      <c r="H2170" s="306"/>
      <c r="I2170" s="308"/>
      <c r="J2170" s="299"/>
      <c r="K2170" s="299"/>
      <c r="L2170" s="288"/>
      <c r="M2170" s="288"/>
      <c r="N2170" s="301"/>
      <c r="O2170" s="297"/>
      <c r="P2170" s="299"/>
      <c r="Q2170" s="288"/>
      <c r="R2170" s="288"/>
      <c r="T2170" s="314"/>
    </row>
    <row r="2171" spans="2:20" x14ac:dyDescent="0.25">
      <c r="B2171" s="283"/>
      <c r="C2171" s="286"/>
      <c r="D2171" s="286"/>
      <c r="E2171" s="286"/>
      <c r="F2171" s="286"/>
      <c r="G2171" s="303"/>
      <c r="H2171" s="306"/>
      <c r="I2171" s="308"/>
      <c r="J2171" s="299"/>
      <c r="K2171" s="299"/>
      <c r="L2171" s="288"/>
      <c r="M2171" s="288"/>
      <c r="N2171" s="301"/>
      <c r="O2171" s="297"/>
      <c r="P2171" s="299"/>
      <c r="Q2171" s="288"/>
      <c r="R2171" s="288"/>
      <c r="T2171" s="314"/>
    </row>
    <row r="2172" spans="2:20" ht="15.75" thickBot="1" x14ac:dyDescent="0.3">
      <c r="B2172" s="284"/>
      <c r="C2172" s="287"/>
      <c r="D2172" s="287"/>
      <c r="E2172" s="287"/>
      <c r="F2172" s="287"/>
      <c r="G2172" s="304"/>
      <c r="H2172" s="307"/>
      <c r="I2172" s="309"/>
      <c r="J2172" s="300"/>
      <c r="K2172" s="300"/>
      <c r="L2172" s="289"/>
      <c r="M2172" s="289"/>
      <c r="N2172" s="302"/>
      <c r="O2172" s="298"/>
      <c r="P2172" s="300"/>
      <c r="Q2172" s="289"/>
      <c r="R2172" s="289"/>
      <c r="T2172" s="314"/>
    </row>
    <row r="2173" spans="2:20" ht="16.5" thickTop="1" x14ac:dyDescent="0.25">
      <c r="B2173" s="98">
        <v>1</v>
      </c>
      <c r="C2173" s="290" t="s">
        <v>610</v>
      </c>
      <c r="D2173" s="291"/>
      <c r="E2173" s="291"/>
      <c r="F2173" s="291"/>
      <c r="G2173" s="291"/>
      <c r="H2173" s="292"/>
      <c r="I2173" s="44">
        <f>I2174+I2227+I2246+I2264+I2271+I2286</f>
        <v>3638890</v>
      </c>
      <c r="J2173" s="44">
        <f>J2286+J2271+J2264+J2246+J2227+J2174</f>
        <v>3672200</v>
      </c>
      <c r="K2173" s="44">
        <f>K2286+K2271+K2264+K2246+K2227+K2174</f>
        <v>3582573</v>
      </c>
      <c r="L2173" s="44">
        <f>L2286+L2271+L2264+L2246+L2227+L2174</f>
        <v>3674042.99</v>
      </c>
      <c r="M2173" s="44">
        <f>M2286+M2271+M2264+M2246+M2227+M2174</f>
        <v>4715621.78</v>
      </c>
      <c r="N2173" s="44">
        <f>N2174+N2227+N2246+N2264+N2271+N2286</f>
        <v>180770</v>
      </c>
      <c r="O2173" s="44">
        <f>O2286+O2271+O2264+O2246+O2227+O2174</f>
        <v>65060</v>
      </c>
      <c r="P2173" s="44">
        <f>P2286+P2271+P2264+P2246+P2227+P2174</f>
        <v>144660</v>
      </c>
      <c r="Q2173" s="44">
        <f>Q2286+Q2271+Q2264+Q2246+Q2227+Q2174</f>
        <v>162466</v>
      </c>
      <c r="R2173" s="44">
        <f>R2286+R2271+R2264+R2246+R2227+R2174</f>
        <v>325871</v>
      </c>
      <c r="T2173" s="44">
        <f>I2173+N2173</f>
        <v>3819660</v>
      </c>
    </row>
    <row r="2174" spans="2:20" ht="15.75" x14ac:dyDescent="0.25">
      <c r="B2174" s="97">
        <f>B2173+1</f>
        <v>2</v>
      </c>
      <c r="C2174" s="45">
        <v>1</v>
      </c>
      <c r="D2174" s="293" t="s">
        <v>611</v>
      </c>
      <c r="E2174" s="294"/>
      <c r="F2174" s="294"/>
      <c r="G2174" s="294"/>
      <c r="H2174" s="295"/>
      <c r="I2174" s="46">
        <f>I2178+I2180+I2196</f>
        <v>768990</v>
      </c>
      <c r="J2174" s="46">
        <f>J2178+J2180+J2196</f>
        <v>620980</v>
      </c>
      <c r="K2174" s="46">
        <f>K2178+K2180+K2196</f>
        <v>707103</v>
      </c>
      <c r="L2174" s="46">
        <f>L2196</f>
        <v>432034</v>
      </c>
      <c r="M2174" s="46">
        <f>M2180+M2196</f>
        <v>938867</v>
      </c>
      <c r="N2174" s="46">
        <f>N2183+N2186+N2196</f>
        <v>112210</v>
      </c>
      <c r="O2174" s="46">
        <f t="shared" ref="O2174:R2174" si="595">O2183+O2186+O2196</f>
        <v>0</v>
      </c>
      <c r="P2174" s="46">
        <f t="shared" si="595"/>
        <v>45100</v>
      </c>
      <c r="Q2174" s="46">
        <f t="shared" si="595"/>
        <v>73299</v>
      </c>
      <c r="R2174" s="46">
        <f t="shared" si="595"/>
        <v>70771</v>
      </c>
      <c r="T2174" s="46">
        <f t="shared" ref="T2174:T2237" si="596">I2174+N2174</f>
        <v>881200</v>
      </c>
    </row>
    <row r="2175" spans="2:20" hidden="1" x14ac:dyDescent="0.25">
      <c r="B2175" s="97">
        <f t="shared" ref="B2175:B2239" si="597">B2174+1</f>
        <v>3</v>
      </c>
      <c r="C2175" s="47"/>
      <c r="D2175" s="47" t="s">
        <v>60</v>
      </c>
      <c r="E2175" s="296"/>
      <c r="F2175" s="294"/>
      <c r="G2175" s="294"/>
      <c r="H2175" s="295"/>
      <c r="I2175" s="48" t="e">
        <f>#REF!+#REF!</f>
        <v>#REF!</v>
      </c>
      <c r="J2175" s="48" t="e">
        <f>J2196+J2176</f>
        <v>#REF!</v>
      </c>
      <c r="K2175" s="48" t="e">
        <f>K2196+K2176</f>
        <v>#REF!</v>
      </c>
      <c r="L2175" s="48" t="e">
        <f>L2196+L2176</f>
        <v>#REF!</v>
      </c>
      <c r="M2175" s="48" t="e">
        <f>M2196+M2176</f>
        <v>#REF!</v>
      </c>
      <c r="N2175" s="48" t="e">
        <f>#REF!+#REF!</f>
        <v>#REF!</v>
      </c>
      <c r="O2175" s="48" t="e">
        <f>O2196+O2176</f>
        <v>#REF!</v>
      </c>
      <c r="P2175" s="48" t="e">
        <f>P2196+P2176</f>
        <v>#REF!</v>
      </c>
      <c r="Q2175" s="48" t="e">
        <f>Q2196+Q2176</f>
        <v>#REF!</v>
      </c>
      <c r="R2175" s="48" t="e">
        <f>R2196+R2176</f>
        <v>#REF!</v>
      </c>
      <c r="T2175" s="48" t="e">
        <f t="shared" si="596"/>
        <v>#REF!</v>
      </c>
    </row>
    <row r="2176" spans="2:20" hidden="1" x14ac:dyDescent="0.25">
      <c r="B2176" s="97">
        <f t="shared" si="597"/>
        <v>4</v>
      </c>
      <c r="C2176" s="49"/>
      <c r="D2176" s="49"/>
      <c r="E2176" s="49"/>
      <c r="F2176" s="49"/>
      <c r="G2176" s="123"/>
      <c r="H2176" s="49" t="s">
        <v>12</v>
      </c>
      <c r="I2176" s="50" t="e">
        <f>#REF!+#REF!</f>
        <v>#REF!</v>
      </c>
      <c r="J2176" s="50" t="e">
        <f t="shared" ref="J2176:R2176" si="598">J2177</f>
        <v>#REF!</v>
      </c>
      <c r="K2176" s="50" t="e">
        <f t="shared" si="598"/>
        <v>#REF!</v>
      </c>
      <c r="L2176" s="50" t="e">
        <f t="shared" si="598"/>
        <v>#REF!</v>
      </c>
      <c r="M2176" s="50" t="e">
        <f t="shared" si="598"/>
        <v>#REF!</v>
      </c>
      <c r="N2176" s="50" t="e">
        <f>#REF!+#REF!</f>
        <v>#REF!</v>
      </c>
      <c r="O2176" s="50" t="e">
        <f t="shared" si="598"/>
        <v>#REF!</v>
      </c>
      <c r="P2176" s="50" t="e">
        <f t="shared" si="598"/>
        <v>#REF!</v>
      </c>
      <c r="Q2176" s="50" t="e">
        <f t="shared" si="598"/>
        <v>#REF!</v>
      </c>
      <c r="R2176" s="50" t="e">
        <f t="shared" si="598"/>
        <v>#REF!</v>
      </c>
      <c r="T2176" s="50" t="e">
        <f t="shared" si="596"/>
        <v>#REF!</v>
      </c>
    </row>
    <row r="2177" spans="2:20" hidden="1" x14ac:dyDescent="0.25">
      <c r="B2177" s="97">
        <f t="shared" si="597"/>
        <v>5</v>
      </c>
      <c r="C2177" s="51"/>
      <c r="D2177" s="51"/>
      <c r="E2177" s="51" t="s">
        <v>60</v>
      </c>
      <c r="F2177" s="51"/>
      <c r="G2177" s="124"/>
      <c r="H2177" s="51" t="s">
        <v>612</v>
      </c>
      <c r="I2177" s="52" t="e">
        <f>#REF!+#REF!</f>
        <v>#REF!</v>
      </c>
      <c r="J2177" s="52" t="e">
        <f>J2186+J2183+#REF!+J2180+J2178</f>
        <v>#REF!</v>
      </c>
      <c r="K2177" s="52" t="e">
        <f>K2186+K2183+#REF!+K2180+K2178</f>
        <v>#REF!</v>
      </c>
      <c r="L2177" s="52" t="e">
        <f>L2186+L2183+#REF!+L2180+L2178</f>
        <v>#REF!</v>
      </c>
      <c r="M2177" s="52" t="e">
        <f>M2186+M2183+#REF!+M2180+M2178</f>
        <v>#REF!</v>
      </c>
      <c r="N2177" s="52" t="e">
        <f>#REF!+#REF!</f>
        <v>#REF!</v>
      </c>
      <c r="O2177" s="52" t="e">
        <f>O2186+O2183+#REF!+O2180+O2178</f>
        <v>#REF!</v>
      </c>
      <c r="P2177" s="52" t="e">
        <f>P2186+P2183+#REF!+P2180+P2178</f>
        <v>#REF!</v>
      </c>
      <c r="Q2177" s="52" t="e">
        <f>Q2186+Q2183+#REF!+Q2180+Q2178</f>
        <v>#REF!</v>
      </c>
      <c r="R2177" s="52" t="e">
        <f>R2186+R2183+#REF!+R2180+R2178</f>
        <v>#REF!</v>
      </c>
      <c r="T2177" s="52" t="e">
        <f t="shared" si="596"/>
        <v>#REF!</v>
      </c>
    </row>
    <row r="2178" spans="2:20" x14ac:dyDescent="0.25">
      <c r="B2178" s="97">
        <f t="shared" si="597"/>
        <v>6</v>
      </c>
      <c r="C2178" s="29"/>
      <c r="D2178" s="29"/>
      <c r="E2178" s="29"/>
      <c r="F2178" s="53" t="s">
        <v>613</v>
      </c>
      <c r="G2178" s="125">
        <v>630</v>
      </c>
      <c r="H2178" s="29" t="s">
        <v>303</v>
      </c>
      <c r="I2178" s="15">
        <f>I2179</f>
        <v>6000</v>
      </c>
      <c r="J2178" s="15">
        <f t="shared" ref="J2178:M2178" si="599">J2179</f>
        <v>50000</v>
      </c>
      <c r="K2178" s="15">
        <f t="shared" si="599"/>
        <v>59440</v>
      </c>
      <c r="L2178" s="15">
        <f t="shared" si="599"/>
        <v>0</v>
      </c>
      <c r="M2178" s="15">
        <f t="shared" si="599"/>
        <v>0</v>
      </c>
      <c r="N2178" s="15"/>
      <c r="O2178" s="15"/>
      <c r="P2178" s="15"/>
      <c r="Q2178" s="15"/>
      <c r="R2178" s="15"/>
      <c r="T2178" s="15">
        <f t="shared" si="596"/>
        <v>6000</v>
      </c>
    </row>
    <row r="2179" spans="2:20" x14ac:dyDescent="0.25">
      <c r="B2179" s="97">
        <f t="shared" si="597"/>
        <v>7</v>
      </c>
      <c r="C2179" s="9"/>
      <c r="D2179" s="9"/>
      <c r="E2179" s="9"/>
      <c r="F2179" s="54" t="s">
        <v>613</v>
      </c>
      <c r="G2179" s="126">
        <v>635</v>
      </c>
      <c r="H2179" s="9" t="s">
        <v>320</v>
      </c>
      <c r="I2179" s="10">
        <v>6000</v>
      </c>
      <c r="J2179" s="10">
        <v>50000</v>
      </c>
      <c r="K2179" s="10">
        <f>71000-11560</f>
        <v>59440</v>
      </c>
      <c r="L2179" s="10"/>
      <c r="M2179" s="10"/>
      <c r="N2179" s="10"/>
      <c r="O2179" s="10"/>
      <c r="P2179" s="10"/>
      <c r="Q2179" s="10"/>
      <c r="R2179" s="10"/>
      <c r="T2179" s="10">
        <f t="shared" si="596"/>
        <v>6000</v>
      </c>
    </row>
    <row r="2180" spans="2:20" x14ac:dyDescent="0.25">
      <c r="B2180" s="97">
        <f t="shared" si="597"/>
        <v>8</v>
      </c>
      <c r="C2180" s="29"/>
      <c r="D2180" s="29"/>
      <c r="E2180" s="29"/>
      <c r="F2180" s="53" t="s">
        <v>378</v>
      </c>
      <c r="G2180" s="125">
        <v>630</v>
      </c>
      <c r="H2180" s="29" t="s">
        <v>303</v>
      </c>
      <c r="I2180" s="15">
        <f>SUM(I2181:I2182)</f>
        <v>391000</v>
      </c>
      <c r="J2180" s="15">
        <f t="shared" ref="J2180:M2180" si="600">J2181</f>
        <v>0</v>
      </c>
      <c r="K2180" s="15">
        <f t="shared" si="600"/>
        <v>316858</v>
      </c>
      <c r="L2180" s="15">
        <f t="shared" si="600"/>
        <v>0</v>
      </c>
      <c r="M2180" s="15">
        <f t="shared" si="600"/>
        <v>780420</v>
      </c>
      <c r="N2180" s="15"/>
      <c r="O2180" s="15"/>
      <c r="P2180" s="15"/>
      <c r="Q2180" s="15"/>
      <c r="R2180" s="15"/>
      <c r="T2180" s="15">
        <f t="shared" si="596"/>
        <v>391000</v>
      </c>
    </row>
    <row r="2181" spans="2:20" x14ac:dyDescent="0.25">
      <c r="B2181" s="97">
        <f t="shared" si="597"/>
        <v>9</v>
      </c>
      <c r="C2181" s="9"/>
      <c r="D2181" s="9"/>
      <c r="E2181" s="9"/>
      <c r="F2181" s="54" t="s">
        <v>378</v>
      </c>
      <c r="G2181" s="126">
        <v>635</v>
      </c>
      <c r="H2181" s="9" t="s">
        <v>320</v>
      </c>
      <c r="I2181" s="10">
        <v>390000</v>
      </c>
      <c r="J2181" s="10"/>
      <c r="K2181" s="10">
        <v>316858</v>
      </c>
      <c r="L2181" s="10">
        <v>0</v>
      </c>
      <c r="M2181" s="10">
        <f>365296+86850+14310+288964+25000</f>
        <v>780420</v>
      </c>
      <c r="N2181" s="10"/>
      <c r="O2181" s="10"/>
      <c r="P2181" s="10"/>
      <c r="Q2181" s="10"/>
      <c r="R2181" s="10"/>
      <c r="T2181" s="10">
        <f t="shared" si="596"/>
        <v>390000</v>
      </c>
    </row>
    <row r="2182" spans="2:20" x14ac:dyDescent="0.25">
      <c r="B2182" s="97">
        <f t="shared" si="597"/>
        <v>10</v>
      </c>
      <c r="C2182" s="9"/>
      <c r="D2182" s="9"/>
      <c r="E2182" s="9"/>
      <c r="F2182" s="54" t="s">
        <v>378</v>
      </c>
      <c r="G2182" s="126">
        <v>637</v>
      </c>
      <c r="H2182" s="9" t="s">
        <v>308</v>
      </c>
      <c r="I2182" s="10">
        <v>1000</v>
      </c>
      <c r="J2182" s="10"/>
      <c r="K2182" s="10"/>
      <c r="L2182" s="10"/>
      <c r="M2182" s="10"/>
      <c r="N2182" s="10"/>
      <c r="O2182" s="10"/>
      <c r="P2182" s="10"/>
      <c r="Q2182" s="10"/>
      <c r="R2182" s="10"/>
      <c r="T2182" s="10">
        <f t="shared" si="596"/>
        <v>1000</v>
      </c>
    </row>
    <row r="2183" spans="2:20" x14ac:dyDescent="0.25">
      <c r="B2183" s="97">
        <f t="shared" si="597"/>
        <v>11</v>
      </c>
      <c r="C2183" s="29"/>
      <c r="D2183" s="29"/>
      <c r="E2183" s="29"/>
      <c r="F2183" s="53" t="s">
        <v>613</v>
      </c>
      <c r="G2183" s="125">
        <v>710</v>
      </c>
      <c r="H2183" s="29" t="s">
        <v>321</v>
      </c>
      <c r="I2183" s="15"/>
      <c r="J2183" s="15"/>
      <c r="K2183" s="15"/>
      <c r="L2183" s="15"/>
      <c r="M2183" s="15"/>
      <c r="N2183" s="15">
        <f>N2184</f>
        <v>16000</v>
      </c>
      <c r="O2183" s="15"/>
      <c r="P2183" s="15">
        <f t="shared" ref="P2183:P2184" si="601">P2184</f>
        <v>26100</v>
      </c>
      <c r="Q2183" s="15"/>
      <c r="R2183" s="15"/>
      <c r="T2183" s="15">
        <f t="shared" si="596"/>
        <v>16000</v>
      </c>
    </row>
    <row r="2184" spans="2:20" x14ac:dyDescent="0.25">
      <c r="B2184" s="97">
        <f t="shared" si="597"/>
        <v>12</v>
      </c>
      <c r="C2184" s="9"/>
      <c r="D2184" s="9"/>
      <c r="E2184" s="9"/>
      <c r="F2184" s="54" t="s">
        <v>613</v>
      </c>
      <c r="G2184" s="126">
        <v>717</v>
      </c>
      <c r="H2184" s="9" t="s">
        <v>327</v>
      </c>
      <c r="I2184" s="10"/>
      <c r="J2184" s="10"/>
      <c r="K2184" s="10"/>
      <c r="L2184" s="10"/>
      <c r="M2184" s="10"/>
      <c r="N2184" s="10">
        <f>N2185</f>
        <v>16000</v>
      </c>
      <c r="O2184" s="10"/>
      <c r="P2184" s="10">
        <f t="shared" si="601"/>
        <v>26100</v>
      </c>
      <c r="Q2184" s="10"/>
      <c r="R2184" s="10"/>
      <c r="T2184" s="10">
        <f t="shared" si="596"/>
        <v>16000</v>
      </c>
    </row>
    <row r="2185" spans="2:20" x14ac:dyDescent="0.25">
      <c r="B2185" s="97">
        <f t="shared" si="597"/>
        <v>13</v>
      </c>
      <c r="C2185" s="12"/>
      <c r="D2185" s="12"/>
      <c r="E2185" s="12"/>
      <c r="F2185" s="12"/>
      <c r="G2185" s="127"/>
      <c r="H2185" s="12" t="s">
        <v>965</v>
      </c>
      <c r="I2185" s="13"/>
      <c r="J2185" s="13"/>
      <c r="K2185" s="13"/>
      <c r="L2185" s="13"/>
      <c r="M2185" s="13"/>
      <c r="N2185" s="13">
        <v>16000</v>
      </c>
      <c r="O2185" s="13"/>
      <c r="P2185" s="13">
        <v>26100</v>
      </c>
      <c r="Q2185" s="13"/>
      <c r="R2185" s="13"/>
      <c r="T2185" s="13">
        <f t="shared" si="596"/>
        <v>16000</v>
      </c>
    </row>
    <row r="2186" spans="2:20" x14ac:dyDescent="0.25">
      <c r="B2186" s="97">
        <f t="shared" si="597"/>
        <v>14</v>
      </c>
      <c r="C2186" s="29"/>
      <c r="D2186" s="29"/>
      <c r="E2186" s="29"/>
      <c r="F2186" s="53" t="s">
        <v>378</v>
      </c>
      <c r="G2186" s="125">
        <v>710</v>
      </c>
      <c r="H2186" s="29" t="s">
        <v>321</v>
      </c>
      <c r="I2186" s="15"/>
      <c r="J2186" s="15"/>
      <c r="K2186" s="15"/>
      <c r="L2186" s="15"/>
      <c r="M2186" s="15"/>
      <c r="N2186" s="15">
        <f>N2187</f>
        <v>19000</v>
      </c>
      <c r="O2186" s="15"/>
      <c r="P2186" s="15">
        <f>P2187</f>
        <v>19000</v>
      </c>
      <c r="Q2186" s="15">
        <f t="shared" ref="Q2186:R2186" si="602">Q2187</f>
        <v>1330</v>
      </c>
      <c r="R2186" s="15">
        <f t="shared" si="602"/>
        <v>58771</v>
      </c>
      <c r="T2186" s="15">
        <f t="shared" si="596"/>
        <v>19000</v>
      </c>
    </row>
    <row r="2187" spans="2:20" x14ac:dyDescent="0.25">
      <c r="B2187" s="97">
        <f t="shared" si="597"/>
        <v>15</v>
      </c>
      <c r="C2187" s="9"/>
      <c r="D2187" s="9"/>
      <c r="E2187" s="9"/>
      <c r="F2187" s="54" t="s">
        <v>378</v>
      </c>
      <c r="G2187" s="126">
        <v>717</v>
      </c>
      <c r="H2187" s="9" t="s">
        <v>327</v>
      </c>
      <c r="I2187" s="10"/>
      <c r="J2187" s="10"/>
      <c r="K2187" s="10"/>
      <c r="L2187" s="10"/>
      <c r="M2187" s="10"/>
      <c r="N2187" s="10">
        <f>SUM(N2188:N2195)</f>
        <v>19000</v>
      </c>
      <c r="O2187" s="10"/>
      <c r="P2187" s="10">
        <f>P2195+P2194+P2193+P2192+P2191+P2190+P2189+P2188</f>
        <v>19000</v>
      </c>
      <c r="Q2187" s="10">
        <f t="shared" ref="Q2187:R2187" si="603">Q2195+Q2194+Q2193+Q2192+Q2191+Q2190+Q2189+Q2188</f>
        <v>1330</v>
      </c>
      <c r="R2187" s="10">
        <f t="shared" si="603"/>
        <v>58771</v>
      </c>
      <c r="T2187" s="10">
        <f t="shared" si="596"/>
        <v>19000</v>
      </c>
    </row>
    <row r="2188" spans="2:20" x14ac:dyDescent="0.25">
      <c r="B2188" s="97">
        <f t="shared" si="597"/>
        <v>16</v>
      </c>
      <c r="C2188" s="12"/>
      <c r="D2188" s="12"/>
      <c r="E2188" s="12"/>
      <c r="F2188" s="12"/>
      <c r="G2188" s="127"/>
      <c r="H2188" s="12" t="s">
        <v>605</v>
      </c>
      <c r="I2188" s="13"/>
      <c r="J2188" s="13"/>
      <c r="K2188" s="13"/>
      <c r="L2188" s="13"/>
      <c r="M2188" s="13"/>
      <c r="N2188" s="13"/>
      <c r="O2188" s="13"/>
      <c r="P2188" s="13"/>
      <c r="Q2188" s="13"/>
      <c r="R2188" s="13">
        <f>665+37106</f>
        <v>37771</v>
      </c>
      <c r="T2188" s="13">
        <f t="shared" si="596"/>
        <v>0</v>
      </c>
    </row>
    <row r="2189" spans="2:20" x14ac:dyDescent="0.25">
      <c r="B2189" s="97">
        <f t="shared" si="597"/>
        <v>17</v>
      </c>
      <c r="C2189" s="12"/>
      <c r="D2189" s="12"/>
      <c r="E2189" s="12"/>
      <c r="F2189" s="12"/>
      <c r="G2189" s="127"/>
      <c r="H2189" s="12" t="s">
        <v>614</v>
      </c>
      <c r="I2189" s="13"/>
      <c r="J2189" s="13"/>
      <c r="K2189" s="13"/>
      <c r="L2189" s="13"/>
      <c r="M2189" s="13"/>
      <c r="N2189" s="13"/>
      <c r="O2189" s="13"/>
      <c r="P2189" s="13"/>
      <c r="Q2189" s="13"/>
      <c r="R2189" s="13">
        <v>21000</v>
      </c>
      <c r="T2189" s="13">
        <f t="shared" si="596"/>
        <v>0</v>
      </c>
    </row>
    <row r="2190" spans="2:20" x14ac:dyDescent="0.25">
      <c r="B2190" s="97">
        <f t="shared" si="597"/>
        <v>18</v>
      </c>
      <c r="C2190" s="12"/>
      <c r="D2190" s="12"/>
      <c r="E2190" s="12"/>
      <c r="F2190" s="12"/>
      <c r="G2190" s="127"/>
      <c r="H2190" s="12" t="s">
        <v>615</v>
      </c>
      <c r="I2190" s="13"/>
      <c r="J2190" s="13"/>
      <c r="K2190" s="13"/>
      <c r="L2190" s="13"/>
      <c r="M2190" s="13"/>
      <c r="N2190" s="13"/>
      <c r="O2190" s="13"/>
      <c r="P2190" s="13"/>
      <c r="Q2190" s="13">
        <v>1330</v>
      </c>
      <c r="R2190" s="13"/>
      <c r="T2190" s="13">
        <f t="shared" si="596"/>
        <v>0</v>
      </c>
    </row>
    <row r="2191" spans="2:20" x14ac:dyDescent="0.25">
      <c r="B2191" s="97">
        <f t="shared" si="597"/>
        <v>19</v>
      </c>
      <c r="C2191" s="12"/>
      <c r="D2191" s="12"/>
      <c r="E2191" s="12"/>
      <c r="F2191" s="12"/>
      <c r="G2191" s="127"/>
      <c r="H2191" s="12" t="s">
        <v>896</v>
      </c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T2191" s="13">
        <f t="shared" si="596"/>
        <v>0</v>
      </c>
    </row>
    <row r="2192" spans="2:20" x14ac:dyDescent="0.25">
      <c r="B2192" s="97">
        <f t="shared" si="597"/>
        <v>20</v>
      </c>
      <c r="C2192" s="12"/>
      <c r="D2192" s="12"/>
      <c r="E2192" s="12"/>
      <c r="F2192" s="12"/>
      <c r="G2192" s="127"/>
      <c r="H2192" s="12" t="s">
        <v>897</v>
      </c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T2192" s="13">
        <f t="shared" si="596"/>
        <v>0</v>
      </c>
    </row>
    <row r="2193" spans="2:20" x14ac:dyDescent="0.25">
      <c r="B2193" s="97">
        <f t="shared" si="597"/>
        <v>21</v>
      </c>
      <c r="C2193" s="12"/>
      <c r="D2193" s="12"/>
      <c r="E2193" s="12"/>
      <c r="F2193" s="12"/>
      <c r="G2193" s="127"/>
      <c r="H2193" s="91" t="s">
        <v>898</v>
      </c>
      <c r="I2193" s="13"/>
      <c r="J2193" s="13"/>
      <c r="K2193" s="13"/>
      <c r="L2193" s="13"/>
      <c r="M2193" s="13"/>
      <c r="N2193" s="13">
        <v>7000</v>
      </c>
      <c r="O2193" s="13"/>
      <c r="P2193" s="13">
        <v>7000</v>
      </c>
      <c r="Q2193" s="13"/>
      <c r="R2193" s="13"/>
      <c r="T2193" s="13">
        <f t="shared" si="596"/>
        <v>7000</v>
      </c>
    </row>
    <row r="2194" spans="2:20" x14ac:dyDescent="0.25">
      <c r="B2194" s="97">
        <f t="shared" si="597"/>
        <v>22</v>
      </c>
      <c r="C2194" s="12"/>
      <c r="D2194" s="12"/>
      <c r="E2194" s="12"/>
      <c r="F2194" s="12"/>
      <c r="G2194" s="127"/>
      <c r="H2194" s="91" t="s">
        <v>899</v>
      </c>
      <c r="I2194" s="13"/>
      <c r="J2194" s="13"/>
      <c r="K2194" s="13"/>
      <c r="L2194" s="13"/>
      <c r="M2194" s="13"/>
      <c r="N2194" s="13">
        <v>3000</v>
      </c>
      <c r="O2194" s="13"/>
      <c r="P2194" s="13">
        <v>3000</v>
      </c>
      <c r="Q2194" s="13"/>
      <c r="R2194" s="13"/>
      <c r="T2194" s="13">
        <f t="shared" si="596"/>
        <v>3000</v>
      </c>
    </row>
    <row r="2195" spans="2:20" x14ac:dyDescent="0.25">
      <c r="B2195" s="97">
        <f t="shared" si="597"/>
        <v>23</v>
      </c>
      <c r="C2195" s="12"/>
      <c r="D2195" s="12"/>
      <c r="E2195" s="12"/>
      <c r="F2195" s="12"/>
      <c r="G2195" s="127"/>
      <c r="H2195" s="91" t="s">
        <v>900</v>
      </c>
      <c r="I2195" s="13"/>
      <c r="J2195" s="13"/>
      <c r="K2195" s="13"/>
      <c r="L2195" s="13"/>
      <c r="M2195" s="13"/>
      <c r="N2195" s="13">
        <v>9000</v>
      </c>
      <c r="O2195" s="13"/>
      <c r="P2195" s="13">
        <v>9000</v>
      </c>
      <c r="Q2195" s="13"/>
      <c r="R2195" s="13"/>
      <c r="T2195" s="13">
        <f t="shared" si="596"/>
        <v>9000</v>
      </c>
    </row>
    <row r="2196" spans="2:20" x14ac:dyDescent="0.25">
      <c r="B2196" s="97">
        <f t="shared" si="597"/>
        <v>24</v>
      </c>
      <c r="C2196" s="49"/>
      <c r="D2196" s="49"/>
      <c r="E2196" s="49">
        <v>2</v>
      </c>
      <c r="F2196" s="49"/>
      <c r="G2196" s="123"/>
      <c r="H2196" s="49" t="s">
        <v>59</v>
      </c>
      <c r="I2196" s="50">
        <f>I2197</f>
        <v>371990</v>
      </c>
      <c r="J2196" s="50">
        <f t="shared" ref="J2196:R2196" si="604">J2197</f>
        <v>570980</v>
      </c>
      <c r="K2196" s="50">
        <f t="shared" si="604"/>
        <v>330805</v>
      </c>
      <c r="L2196" s="50">
        <f t="shared" si="604"/>
        <v>432034</v>
      </c>
      <c r="M2196" s="50">
        <f t="shared" si="604"/>
        <v>158447</v>
      </c>
      <c r="N2196" s="50">
        <f>N2197</f>
        <v>77210</v>
      </c>
      <c r="O2196" s="50">
        <f t="shared" si="604"/>
        <v>0</v>
      </c>
      <c r="P2196" s="50">
        <f t="shared" si="604"/>
        <v>0</v>
      </c>
      <c r="Q2196" s="50">
        <f t="shared" si="604"/>
        <v>71969</v>
      </c>
      <c r="R2196" s="50">
        <f t="shared" si="604"/>
        <v>12000</v>
      </c>
      <c r="T2196" s="50">
        <f t="shared" si="596"/>
        <v>449200</v>
      </c>
    </row>
    <row r="2197" spans="2:20" x14ac:dyDescent="0.25">
      <c r="B2197" s="97">
        <f t="shared" si="597"/>
        <v>25</v>
      </c>
      <c r="C2197" s="51"/>
      <c r="D2197" s="51"/>
      <c r="E2197" s="51" t="s">
        <v>60</v>
      </c>
      <c r="F2197" s="51"/>
      <c r="G2197" s="124"/>
      <c r="H2197" s="51" t="s">
        <v>96</v>
      </c>
      <c r="I2197" s="52">
        <f>I2198+I2199+I2200+I2207+I2208+I2209+I2210+I2218+I2219</f>
        <v>371990</v>
      </c>
      <c r="J2197" s="52">
        <f>J2223+J2220+J2218+J2210+J2209+J2208+J2207+J2200+J2199+J2198+J2219</f>
        <v>570980</v>
      </c>
      <c r="K2197" s="52">
        <f>K2223+K2220+K2218+K2210+K2209+K2208+K2207+K2200+K2199+K2198+K2219</f>
        <v>330805</v>
      </c>
      <c r="L2197" s="52">
        <f>L2223+L2220+L2218+L2210+L2209+L2208+L2207+L2200+L2199+L2198</f>
        <v>432034</v>
      </c>
      <c r="M2197" s="52">
        <f>M2223+M2220+M2218+M2210+M2209+M2208+M2207+M2200+M2199+M2198</f>
        <v>158447</v>
      </c>
      <c r="N2197" s="52">
        <f>N2220+N2223</f>
        <v>77210</v>
      </c>
      <c r="O2197" s="52">
        <f>O2223+O2220+O2218+O2210+O2209+O2208+O2207+O2200+O2199+O2198</f>
        <v>0</v>
      </c>
      <c r="P2197" s="52">
        <f>P2223+P2220+P2218+P2210+P2209+P2208+P2207+P2200+P2199+P2198</f>
        <v>0</v>
      </c>
      <c r="Q2197" s="52">
        <f>Q2223+Q2220+Q2218+Q2210+Q2209+Q2208+Q2207+Q2200+Q2199+Q2198</f>
        <v>71969</v>
      </c>
      <c r="R2197" s="52">
        <f>R2223+R2220+R2218+R2210+R2209+R2208+R2207+R2200+R2199+R2198</f>
        <v>12000</v>
      </c>
      <c r="T2197" s="52">
        <f t="shared" si="596"/>
        <v>449200</v>
      </c>
    </row>
    <row r="2198" spans="2:20" x14ac:dyDescent="0.25">
      <c r="B2198" s="97">
        <f t="shared" si="597"/>
        <v>26</v>
      </c>
      <c r="C2198" s="29"/>
      <c r="D2198" s="29"/>
      <c r="E2198" s="29"/>
      <c r="F2198" s="53" t="s">
        <v>613</v>
      </c>
      <c r="G2198" s="125">
        <v>610</v>
      </c>
      <c r="H2198" s="29" t="s">
        <v>338</v>
      </c>
      <c r="I2198" s="15">
        <v>44150</v>
      </c>
      <c r="J2198" s="15">
        <v>23500</v>
      </c>
      <c r="K2198" s="15">
        <v>35420</v>
      </c>
      <c r="L2198" s="15">
        <f>22760+0</f>
        <v>22760</v>
      </c>
      <c r="M2198" s="15">
        <f>22914</f>
        <v>22914</v>
      </c>
      <c r="N2198" s="15"/>
      <c r="O2198" s="15"/>
      <c r="P2198" s="15"/>
      <c r="Q2198" s="15"/>
      <c r="R2198" s="15"/>
      <c r="T2198" s="15">
        <f t="shared" si="596"/>
        <v>44150</v>
      </c>
    </row>
    <row r="2199" spans="2:20" x14ac:dyDescent="0.25">
      <c r="B2199" s="97">
        <f t="shared" si="597"/>
        <v>27</v>
      </c>
      <c r="C2199" s="29"/>
      <c r="D2199" s="29"/>
      <c r="E2199" s="29"/>
      <c r="F2199" s="53" t="s">
        <v>613</v>
      </c>
      <c r="G2199" s="125">
        <v>620</v>
      </c>
      <c r="H2199" s="29" t="s">
        <v>313</v>
      </c>
      <c r="I2199" s="15">
        <v>15500</v>
      </c>
      <c r="J2199" s="15">
        <v>8550</v>
      </c>
      <c r="K2199" s="15">
        <v>13070</v>
      </c>
      <c r="L2199" s="15">
        <f>7801+179</f>
        <v>7980</v>
      </c>
      <c r="M2199" s="15">
        <f>8029+161</f>
        <v>8190</v>
      </c>
      <c r="N2199" s="15"/>
      <c r="O2199" s="15"/>
      <c r="P2199" s="15"/>
      <c r="Q2199" s="15"/>
      <c r="R2199" s="15"/>
      <c r="T2199" s="15">
        <f t="shared" si="596"/>
        <v>15500</v>
      </c>
    </row>
    <row r="2200" spans="2:20" x14ac:dyDescent="0.25">
      <c r="B2200" s="97">
        <f t="shared" si="597"/>
        <v>28</v>
      </c>
      <c r="C2200" s="29"/>
      <c r="D2200" s="29"/>
      <c r="E2200" s="29"/>
      <c r="F2200" s="53" t="s">
        <v>613</v>
      </c>
      <c r="G2200" s="125">
        <v>630</v>
      </c>
      <c r="H2200" s="29" t="s">
        <v>303</v>
      </c>
      <c r="I2200" s="15">
        <f>SUM(I2201:I2206)</f>
        <v>46020</v>
      </c>
      <c r="J2200" s="15">
        <f>J2206+J2205+J2204+J2203+J2202+J2201</f>
        <v>22870</v>
      </c>
      <c r="K2200" s="15">
        <f>K2206+K2205+K2204+K2203+K2202+K2201</f>
        <v>32560</v>
      </c>
      <c r="L2200" s="15">
        <f>L2206+L2205+L2204+L2203+L2202+L2201</f>
        <v>32462</v>
      </c>
      <c r="M2200" s="15">
        <f>M2206+M2205+M2204+M2203+M2202+M2201</f>
        <v>17056</v>
      </c>
      <c r="N2200" s="15"/>
      <c r="O2200" s="15"/>
      <c r="P2200" s="15"/>
      <c r="Q2200" s="15"/>
      <c r="R2200" s="15"/>
      <c r="T2200" s="15">
        <f t="shared" si="596"/>
        <v>46020</v>
      </c>
    </row>
    <row r="2201" spans="2:20" x14ac:dyDescent="0.25">
      <c r="B2201" s="97">
        <f t="shared" si="597"/>
        <v>29</v>
      </c>
      <c r="C2201" s="9"/>
      <c r="D2201" s="9"/>
      <c r="E2201" s="9"/>
      <c r="F2201" s="54" t="s">
        <v>613</v>
      </c>
      <c r="G2201" s="126">
        <v>631</v>
      </c>
      <c r="H2201" s="9" t="s">
        <v>304</v>
      </c>
      <c r="I2201" s="10">
        <v>50</v>
      </c>
      <c r="J2201" s="10">
        <v>50</v>
      </c>
      <c r="K2201" s="10">
        <v>50</v>
      </c>
      <c r="L2201" s="10"/>
      <c r="M2201" s="10">
        <v>0</v>
      </c>
      <c r="N2201" s="10"/>
      <c r="O2201" s="10"/>
      <c r="P2201" s="10"/>
      <c r="Q2201" s="10"/>
      <c r="R2201" s="10"/>
      <c r="T2201" s="10">
        <f t="shared" si="596"/>
        <v>50</v>
      </c>
    </row>
    <row r="2202" spans="2:20" x14ac:dyDescent="0.25">
      <c r="B2202" s="97">
        <f t="shared" si="597"/>
        <v>30</v>
      </c>
      <c r="C2202" s="9"/>
      <c r="D2202" s="9"/>
      <c r="E2202" s="9"/>
      <c r="F2202" s="54" t="s">
        <v>613</v>
      </c>
      <c r="G2202" s="126">
        <v>632</v>
      </c>
      <c r="H2202" s="9" t="s">
        <v>314</v>
      </c>
      <c r="I2202" s="10">
        <v>2600</v>
      </c>
      <c r="J2202" s="10">
        <v>3350</v>
      </c>
      <c r="K2202" s="10">
        <v>3350</v>
      </c>
      <c r="L2202" s="10">
        <f>281+1530</f>
        <v>1811</v>
      </c>
      <c r="M2202" s="10">
        <f>532+1462</f>
        <v>1994</v>
      </c>
      <c r="N2202" s="10"/>
      <c r="O2202" s="10"/>
      <c r="P2202" s="10"/>
      <c r="Q2202" s="10"/>
      <c r="R2202" s="10"/>
      <c r="T2202" s="10">
        <f t="shared" si="596"/>
        <v>2600</v>
      </c>
    </row>
    <row r="2203" spans="2:20" x14ac:dyDescent="0.25">
      <c r="B2203" s="97">
        <f t="shared" si="597"/>
        <v>31</v>
      </c>
      <c r="C2203" s="9"/>
      <c r="D2203" s="9"/>
      <c r="E2203" s="9"/>
      <c r="F2203" s="54" t="s">
        <v>613</v>
      </c>
      <c r="G2203" s="126">
        <v>633</v>
      </c>
      <c r="H2203" s="9" t="s">
        <v>305</v>
      </c>
      <c r="I2203" s="10">
        <v>13350</v>
      </c>
      <c r="J2203" s="10">
        <v>7600</v>
      </c>
      <c r="K2203" s="10">
        <v>10620</v>
      </c>
      <c r="L2203" s="10">
        <f>1302+2648</f>
        <v>3950</v>
      </c>
      <c r="M2203" s="10">
        <f>3297+2393</f>
        <v>5690</v>
      </c>
      <c r="N2203" s="10"/>
      <c r="O2203" s="10"/>
      <c r="P2203" s="10"/>
      <c r="Q2203" s="10"/>
      <c r="R2203" s="10"/>
      <c r="T2203" s="10">
        <f t="shared" si="596"/>
        <v>13350</v>
      </c>
    </row>
    <row r="2204" spans="2:20" x14ac:dyDescent="0.25">
      <c r="B2204" s="97">
        <f t="shared" si="597"/>
        <v>32</v>
      </c>
      <c r="C2204" s="9"/>
      <c r="D2204" s="9"/>
      <c r="E2204" s="9"/>
      <c r="F2204" s="54" t="s">
        <v>613</v>
      </c>
      <c r="G2204" s="126">
        <v>634</v>
      </c>
      <c r="H2204" s="9" t="s">
        <v>306</v>
      </c>
      <c r="I2204" s="10">
        <v>2920</v>
      </c>
      <c r="J2204" s="10">
        <v>2670</v>
      </c>
      <c r="K2204" s="10">
        <v>2670</v>
      </c>
      <c r="L2204" s="10">
        <f>1683+196</f>
        <v>1879</v>
      </c>
      <c r="M2204" s="10">
        <f>2318+191</f>
        <v>2509</v>
      </c>
      <c r="N2204" s="10"/>
      <c r="O2204" s="10"/>
      <c r="P2204" s="10"/>
      <c r="Q2204" s="10"/>
      <c r="R2204" s="10"/>
      <c r="T2204" s="10">
        <f t="shared" si="596"/>
        <v>2920</v>
      </c>
    </row>
    <row r="2205" spans="2:20" x14ac:dyDescent="0.25">
      <c r="B2205" s="97">
        <f t="shared" si="597"/>
        <v>33</v>
      </c>
      <c r="C2205" s="9"/>
      <c r="D2205" s="9"/>
      <c r="E2205" s="9"/>
      <c r="F2205" s="54" t="s">
        <v>613</v>
      </c>
      <c r="G2205" s="126">
        <v>635</v>
      </c>
      <c r="H2205" s="9" t="s">
        <v>320</v>
      </c>
      <c r="I2205" s="10">
        <v>1400</v>
      </c>
      <c r="J2205" s="10">
        <v>1300</v>
      </c>
      <c r="K2205" s="10">
        <v>6500</v>
      </c>
      <c r="L2205" s="10">
        <f>373+19165</f>
        <v>19538</v>
      </c>
      <c r="M2205" s="10">
        <v>179</v>
      </c>
      <c r="N2205" s="10"/>
      <c r="O2205" s="10"/>
      <c r="P2205" s="10"/>
      <c r="Q2205" s="10"/>
      <c r="R2205" s="10"/>
      <c r="T2205" s="10">
        <f t="shared" si="596"/>
        <v>1400</v>
      </c>
    </row>
    <row r="2206" spans="2:20" x14ac:dyDescent="0.25">
      <c r="B2206" s="97">
        <f t="shared" si="597"/>
        <v>34</v>
      </c>
      <c r="C2206" s="9"/>
      <c r="D2206" s="9"/>
      <c r="E2206" s="9"/>
      <c r="F2206" s="54" t="s">
        <v>613</v>
      </c>
      <c r="G2206" s="126">
        <v>637</v>
      </c>
      <c r="H2206" s="9" t="s">
        <v>308</v>
      </c>
      <c r="I2206" s="10">
        <v>25700</v>
      </c>
      <c r="J2206" s="10">
        <v>7900</v>
      </c>
      <c r="K2206" s="10">
        <v>9370</v>
      </c>
      <c r="L2206" s="10">
        <f>4126+1158</f>
        <v>5284</v>
      </c>
      <c r="M2206" s="10">
        <f>5458+1226</f>
        <v>6684</v>
      </c>
      <c r="N2206" s="10"/>
      <c r="O2206" s="10"/>
      <c r="P2206" s="10"/>
      <c r="Q2206" s="10"/>
      <c r="R2206" s="10"/>
      <c r="T2206" s="10">
        <f t="shared" si="596"/>
        <v>25700</v>
      </c>
    </row>
    <row r="2207" spans="2:20" x14ac:dyDescent="0.25">
      <c r="B2207" s="97">
        <f t="shared" si="597"/>
        <v>35</v>
      </c>
      <c r="C2207" s="29"/>
      <c r="D2207" s="29"/>
      <c r="E2207" s="29"/>
      <c r="F2207" s="53" t="s">
        <v>613</v>
      </c>
      <c r="G2207" s="125">
        <v>640</v>
      </c>
      <c r="H2207" s="29" t="s">
        <v>315</v>
      </c>
      <c r="I2207" s="15">
        <v>370</v>
      </c>
      <c r="J2207" s="15">
        <v>190</v>
      </c>
      <c r="K2207" s="15">
        <v>260</v>
      </c>
      <c r="L2207" s="15">
        <v>253</v>
      </c>
      <c r="M2207" s="15">
        <v>241</v>
      </c>
      <c r="N2207" s="15"/>
      <c r="O2207" s="15"/>
      <c r="P2207" s="15"/>
      <c r="Q2207" s="15"/>
      <c r="R2207" s="15"/>
      <c r="T2207" s="15">
        <f t="shared" si="596"/>
        <v>370</v>
      </c>
    </row>
    <row r="2208" spans="2:20" x14ac:dyDescent="0.25">
      <c r="B2208" s="97">
        <f t="shared" si="597"/>
        <v>36</v>
      </c>
      <c r="C2208" s="29"/>
      <c r="D2208" s="29"/>
      <c r="E2208" s="29"/>
      <c r="F2208" s="53" t="s">
        <v>378</v>
      </c>
      <c r="G2208" s="125">
        <v>610</v>
      </c>
      <c r="H2208" s="29" t="s">
        <v>338</v>
      </c>
      <c r="I2208" s="15">
        <v>89400</v>
      </c>
      <c r="J2208" s="15">
        <v>66300</v>
      </c>
      <c r="K2208" s="15">
        <v>66300</v>
      </c>
      <c r="L2208" s="15">
        <v>58288</v>
      </c>
      <c r="M2208" s="15">
        <v>29932</v>
      </c>
      <c r="N2208" s="15"/>
      <c r="O2208" s="15"/>
      <c r="P2208" s="15"/>
      <c r="Q2208" s="15"/>
      <c r="R2208" s="15"/>
      <c r="T2208" s="15">
        <f t="shared" si="596"/>
        <v>89400</v>
      </c>
    </row>
    <row r="2209" spans="2:20" x14ac:dyDescent="0.25">
      <c r="B2209" s="97">
        <f t="shared" si="597"/>
        <v>37</v>
      </c>
      <c r="C2209" s="29"/>
      <c r="D2209" s="29"/>
      <c r="E2209" s="29"/>
      <c r="F2209" s="53" t="s">
        <v>378</v>
      </c>
      <c r="G2209" s="125">
        <v>620</v>
      </c>
      <c r="H2209" s="29" t="s">
        <v>313</v>
      </c>
      <c r="I2209" s="15">
        <v>33700</v>
      </c>
      <c r="J2209" s="15">
        <v>99020</v>
      </c>
      <c r="K2209" s="15">
        <v>26500</v>
      </c>
      <c r="L2209" s="15">
        <v>69242</v>
      </c>
      <c r="M2209" s="15">
        <v>19143</v>
      </c>
      <c r="N2209" s="15"/>
      <c r="O2209" s="15"/>
      <c r="P2209" s="15"/>
      <c r="Q2209" s="15"/>
      <c r="R2209" s="15"/>
      <c r="T2209" s="15">
        <f t="shared" si="596"/>
        <v>33700</v>
      </c>
    </row>
    <row r="2210" spans="2:20" x14ac:dyDescent="0.25">
      <c r="B2210" s="97">
        <f t="shared" si="597"/>
        <v>38</v>
      </c>
      <c r="C2210" s="29"/>
      <c r="D2210" s="29"/>
      <c r="E2210" s="29"/>
      <c r="F2210" s="53" t="s">
        <v>378</v>
      </c>
      <c r="G2210" s="125">
        <v>630</v>
      </c>
      <c r="H2210" s="29" t="s">
        <v>303</v>
      </c>
      <c r="I2210" s="15">
        <f>SUM(I2211:I2217)</f>
        <v>112550</v>
      </c>
      <c r="J2210" s="15">
        <f>SUM(J2211:J2216)</f>
        <v>290250</v>
      </c>
      <c r="K2210" s="15">
        <f>SUM(K2211:K2217)</f>
        <v>96395</v>
      </c>
      <c r="L2210" s="15">
        <f>SUM(L2211:L2216)</f>
        <v>240952</v>
      </c>
      <c r="M2210" s="15">
        <f>SUM(M2211:M2216)</f>
        <v>60828</v>
      </c>
      <c r="N2210" s="15"/>
      <c r="O2210" s="15"/>
      <c r="P2210" s="15"/>
      <c r="Q2210" s="15"/>
      <c r="R2210" s="15"/>
      <c r="T2210" s="15">
        <f t="shared" si="596"/>
        <v>112550</v>
      </c>
    </row>
    <row r="2211" spans="2:20" x14ac:dyDescent="0.25">
      <c r="B2211" s="97">
        <f t="shared" si="597"/>
        <v>39</v>
      </c>
      <c r="C2211" s="9"/>
      <c r="D2211" s="9"/>
      <c r="E2211" s="9"/>
      <c r="F2211" s="54" t="s">
        <v>378</v>
      </c>
      <c r="G2211" s="126">
        <v>633</v>
      </c>
      <c r="H2211" s="9" t="s">
        <v>305</v>
      </c>
      <c r="I2211" s="10">
        <v>49500</v>
      </c>
      <c r="J2211" s="10">
        <v>26750</v>
      </c>
      <c r="K2211" s="10">
        <v>22750</v>
      </c>
      <c r="L2211" s="10">
        <v>17127</v>
      </c>
      <c r="M2211" s="10">
        <v>8755</v>
      </c>
      <c r="N2211" s="10"/>
      <c r="O2211" s="10"/>
      <c r="P2211" s="10"/>
      <c r="Q2211" s="10"/>
      <c r="R2211" s="10"/>
      <c r="T2211" s="10">
        <f t="shared" si="596"/>
        <v>49500</v>
      </c>
    </row>
    <row r="2212" spans="2:20" x14ac:dyDescent="0.25">
      <c r="B2212" s="97">
        <f t="shared" si="597"/>
        <v>40</v>
      </c>
      <c r="C2212" s="9"/>
      <c r="D2212" s="9"/>
      <c r="E2212" s="9"/>
      <c r="F2212" s="54" t="s">
        <v>378</v>
      </c>
      <c r="G2212" s="126">
        <v>634</v>
      </c>
      <c r="H2212" s="9" t="s">
        <v>306</v>
      </c>
      <c r="I2212" s="10">
        <v>18700</v>
      </c>
      <c r="J2212" s="10">
        <v>20300</v>
      </c>
      <c r="K2212" s="10">
        <v>20300</v>
      </c>
      <c r="L2212" s="10">
        <v>11665</v>
      </c>
      <c r="M2212" s="10">
        <v>9539</v>
      </c>
      <c r="N2212" s="10"/>
      <c r="O2212" s="10"/>
      <c r="P2212" s="10"/>
      <c r="Q2212" s="10"/>
      <c r="R2212" s="10"/>
      <c r="T2212" s="10">
        <f t="shared" si="596"/>
        <v>18700</v>
      </c>
    </row>
    <row r="2213" spans="2:20" x14ac:dyDescent="0.25">
      <c r="B2213" s="97">
        <f t="shared" si="597"/>
        <v>41</v>
      </c>
      <c r="C2213" s="9"/>
      <c r="D2213" s="9"/>
      <c r="E2213" s="9"/>
      <c r="F2213" s="54" t="s">
        <v>378</v>
      </c>
      <c r="G2213" s="126">
        <v>635</v>
      </c>
      <c r="H2213" s="9" t="s">
        <v>320</v>
      </c>
      <c r="I2213" s="10">
        <v>14000</v>
      </c>
      <c r="J2213" s="10">
        <v>13000</v>
      </c>
      <c r="K2213" s="10">
        <f>7975+7700+3000</f>
        <v>18675</v>
      </c>
      <c r="L2213" s="10">
        <v>5212</v>
      </c>
      <c r="M2213" s="10">
        <v>14146</v>
      </c>
      <c r="N2213" s="10"/>
      <c r="O2213" s="10"/>
      <c r="P2213" s="10"/>
      <c r="Q2213" s="10"/>
      <c r="R2213" s="10"/>
      <c r="T2213" s="10">
        <f t="shared" si="596"/>
        <v>14000</v>
      </c>
    </row>
    <row r="2214" spans="2:20" x14ac:dyDescent="0.25">
      <c r="B2214" s="97">
        <f t="shared" si="597"/>
        <v>42</v>
      </c>
      <c r="C2214" s="9"/>
      <c r="D2214" s="9"/>
      <c r="E2214" s="9"/>
      <c r="F2214" s="54" t="s">
        <v>378</v>
      </c>
      <c r="G2214" s="126">
        <v>635</v>
      </c>
      <c r="H2214" s="158" t="s">
        <v>818</v>
      </c>
      <c r="I2214" s="10">
        <v>5000</v>
      </c>
      <c r="J2214" s="10"/>
      <c r="K2214" s="10">
        <v>5000</v>
      </c>
      <c r="L2214" s="10"/>
      <c r="M2214" s="10"/>
      <c r="N2214" s="10"/>
      <c r="O2214" s="10"/>
      <c r="P2214" s="10"/>
      <c r="Q2214" s="10"/>
      <c r="R2214" s="10"/>
      <c r="T2214" s="10">
        <f t="shared" si="596"/>
        <v>5000</v>
      </c>
    </row>
    <row r="2215" spans="2:20" x14ac:dyDescent="0.25">
      <c r="B2215" s="97">
        <f t="shared" si="597"/>
        <v>43</v>
      </c>
      <c r="C2215" s="9"/>
      <c r="D2215" s="9"/>
      <c r="E2215" s="9"/>
      <c r="F2215" s="54" t="s">
        <v>378</v>
      </c>
      <c r="G2215" s="126">
        <v>636</v>
      </c>
      <c r="H2215" s="9" t="s">
        <v>307</v>
      </c>
      <c r="I2215" s="10">
        <v>700</v>
      </c>
      <c r="J2215" s="10">
        <v>150</v>
      </c>
      <c r="K2215" s="10">
        <v>150</v>
      </c>
      <c r="L2215" s="10">
        <v>0</v>
      </c>
      <c r="M2215" s="10">
        <v>42</v>
      </c>
      <c r="N2215" s="10"/>
      <c r="O2215" s="10"/>
      <c r="P2215" s="10"/>
      <c r="Q2215" s="10"/>
      <c r="R2215" s="10"/>
      <c r="T2215" s="10">
        <f t="shared" si="596"/>
        <v>700</v>
      </c>
    </row>
    <row r="2216" spans="2:20" x14ac:dyDescent="0.25">
      <c r="B2216" s="97">
        <f t="shared" si="597"/>
        <v>44</v>
      </c>
      <c r="C2216" s="9"/>
      <c r="D2216" s="9"/>
      <c r="E2216" s="9"/>
      <c r="F2216" s="54" t="s">
        <v>378</v>
      </c>
      <c r="G2216" s="126">
        <v>637</v>
      </c>
      <c r="H2216" s="9" t="s">
        <v>308</v>
      </c>
      <c r="I2216" s="10">
        <v>16650</v>
      </c>
      <c r="J2216" s="10">
        <v>230050</v>
      </c>
      <c r="K2216" s="10">
        <f>29520-8000</f>
        <v>21520</v>
      </c>
      <c r="L2216" s="10">
        <v>206948</v>
      </c>
      <c r="M2216" s="10">
        <v>28346</v>
      </c>
      <c r="N2216" s="10"/>
      <c r="O2216" s="10"/>
      <c r="P2216" s="10"/>
      <c r="Q2216" s="10"/>
      <c r="R2216" s="10"/>
      <c r="T2216" s="10">
        <f t="shared" si="596"/>
        <v>16650</v>
      </c>
    </row>
    <row r="2217" spans="2:20" ht="24.75" x14ac:dyDescent="0.25">
      <c r="B2217" s="97">
        <f t="shared" si="597"/>
        <v>45</v>
      </c>
      <c r="C2217" s="9"/>
      <c r="D2217" s="9"/>
      <c r="E2217" s="9"/>
      <c r="F2217" s="54" t="s">
        <v>378</v>
      </c>
      <c r="G2217" s="126">
        <v>637</v>
      </c>
      <c r="H2217" s="161" t="s">
        <v>924</v>
      </c>
      <c r="I2217" s="10">
        <v>8000</v>
      </c>
      <c r="J2217" s="10"/>
      <c r="K2217" s="10">
        <v>8000</v>
      </c>
      <c r="L2217" s="10"/>
      <c r="M2217" s="10"/>
      <c r="N2217" s="10"/>
      <c r="O2217" s="10"/>
      <c r="P2217" s="10"/>
      <c r="Q2217" s="10"/>
      <c r="R2217" s="10"/>
      <c r="T2217" s="10">
        <f t="shared" si="596"/>
        <v>8000</v>
      </c>
    </row>
    <row r="2218" spans="2:20" x14ac:dyDescent="0.25">
      <c r="B2218" s="97">
        <f t="shared" si="597"/>
        <v>46</v>
      </c>
      <c r="C2218" s="29"/>
      <c r="D2218" s="29"/>
      <c r="E2218" s="29"/>
      <c r="F2218" s="53" t="s">
        <v>378</v>
      </c>
      <c r="G2218" s="125">
        <v>640</v>
      </c>
      <c r="H2218" s="29" t="s">
        <v>315</v>
      </c>
      <c r="I2218" s="15">
        <v>300</v>
      </c>
      <c r="J2218" s="15">
        <v>300</v>
      </c>
      <c r="K2218" s="15">
        <v>300</v>
      </c>
      <c r="L2218" s="15">
        <v>97</v>
      </c>
      <c r="M2218" s="15">
        <v>143</v>
      </c>
      <c r="N2218" s="15"/>
      <c r="O2218" s="15"/>
      <c r="P2218" s="15"/>
      <c r="Q2218" s="15"/>
      <c r="R2218" s="15"/>
      <c r="T2218" s="15">
        <f t="shared" si="596"/>
        <v>300</v>
      </c>
    </row>
    <row r="2219" spans="2:20" x14ac:dyDescent="0.25">
      <c r="B2219" s="97">
        <f t="shared" si="597"/>
        <v>47</v>
      </c>
      <c r="C2219" s="29"/>
      <c r="D2219" s="29"/>
      <c r="E2219" s="29"/>
      <c r="F2219" s="53" t="s">
        <v>378</v>
      </c>
      <c r="G2219" s="125">
        <v>630</v>
      </c>
      <c r="H2219" s="160" t="s">
        <v>819</v>
      </c>
      <c r="I2219" s="15">
        <v>30000</v>
      </c>
      <c r="J2219" s="15">
        <v>60000</v>
      </c>
      <c r="K2219" s="15">
        <v>60000</v>
      </c>
      <c r="L2219" s="15"/>
      <c r="M2219" s="15"/>
      <c r="N2219" s="15"/>
      <c r="O2219" s="15"/>
      <c r="P2219" s="15"/>
      <c r="Q2219" s="15"/>
      <c r="R2219" s="15"/>
      <c r="T2219" s="15">
        <f t="shared" si="596"/>
        <v>30000</v>
      </c>
    </row>
    <row r="2220" spans="2:20" x14ac:dyDescent="0.25">
      <c r="B2220" s="97">
        <f t="shared" si="597"/>
        <v>48</v>
      </c>
      <c r="C2220" s="29"/>
      <c r="D2220" s="29"/>
      <c r="E2220" s="29"/>
      <c r="F2220" s="53" t="s">
        <v>613</v>
      </c>
      <c r="G2220" s="125">
        <v>710</v>
      </c>
      <c r="H2220" s="29" t="s">
        <v>321</v>
      </c>
      <c r="I2220" s="15"/>
      <c r="J2220" s="15"/>
      <c r="K2220" s="15"/>
      <c r="L2220" s="15"/>
      <c r="M2220" s="15"/>
      <c r="N2220" s="15">
        <f>N2221+N2222</f>
        <v>13500</v>
      </c>
      <c r="O2220" s="15"/>
      <c r="P2220" s="15"/>
      <c r="Q2220" s="15"/>
      <c r="R2220" s="15">
        <f t="shared" ref="R2220" si="605">R2222+R2221</f>
        <v>12000</v>
      </c>
      <c r="T2220" s="15">
        <f t="shared" si="596"/>
        <v>13500</v>
      </c>
    </row>
    <row r="2221" spans="2:20" x14ac:dyDescent="0.25">
      <c r="B2221" s="97">
        <f t="shared" si="597"/>
        <v>49</v>
      </c>
      <c r="C2221" s="9"/>
      <c r="D2221" s="9"/>
      <c r="E2221" s="9"/>
      <c r="F2221" s="54" t="s">
        <v>613</v>
      </c>
      <c r="G2221" s="126">
        <v>713</v>
      </c>
      <c r="H2221" s="9" t="s">
        <v>360</v>
      </c>
      <c r="I2221" s="10"/>
      <c r="J2221" s="10"/>
      <c r="K2221" s="10"/>
      <c r="L2221" s="10"/>
      <c r="M2221" s="10"/>
      <c r="N2221" s="10"/>
      <c r="O2221" s="10"/>
      <c r="P2221" s="10"/>
      <c r="Q2221" s="10"/>
      <c r="R2221" s="10">
        <v>12000</v>
      </c>
      <c r="T2221" s="10">
        <f t="shared" si="596"/>
        <v>0</v>
      </c>
    </row>
    <row r="2222" spans="2:20" x14ac:dyDescent="0.25">
      <c r="B2222" s="97">
        <f t="shared" si="597"/>
        <v>50</v>
      </c>
      <c r="C2222" s="9"/>
      <c r="D2222" s="9"/>
      <c r="E2222" s="9"/>
      <c r="F2222" s="54" t="s">
        <v>613</v>
      </c>
      <c r="G2222" s="126">
        <v>714</v>
      </c>
      <c r="H2222" s="9" t="s">
        <v>700</v>
      </c>
      <c r="I2222" s="10"/>
      <c r="J2222" s="10"/>
      <c r="K2222" s="10"/>
      <c r="L2222" s="10"/>
      <c r="M2222" s="10"/>
      <c r="N2222" s="10">
        <v>13500</v>
      </c>
      <c r="O2222" s="10"/>
      <c r="P2222" s="10"/>
      <c r="Q2222" s="10"/>
      <c r="R2222" s="10"/>
      <c r="T2222" s="10">
        <f t="shared" si="596"/>
        <v>13500</v>
      </c>
    </row>
    <row r="2223" spans="2:20" x14ac:dyDescent="0.25">
      <c r="B2223" s="97">
        <f t="shared" si="597"/>
        <v>51</v>
      </c>
      <c r="C2223" s="29"/>
      <c r="D2223" s="29"/>
      <c r="E2223" s="29"/>
      <c r="F2223" s="53" t="s">
        <v>378</v>
      </c>
      <c r="G2223" s="125">
        <v>710</v>
      </c>
      <c r="H2223" s="29" t="s">
        <v>321</v>
      </c>
      <c r="I2223" s="15"/>
      <c r="J2223" s="15"/>
      <c r="K2223" s="15"/>
      <c r="L2223" s="15"/>
      <c r="M2223" s="15"/>
      <c r="N2223" s="15">
        <f>SUM(N2224:N2226)</f>
        <v>63710</v>
      </c>
      <c r="O2223" s="15"/>
      <c r="P2223" s="15"/>
      <c r="Q2223" s="15">
        <f t="shared" ref="Q2223" si="606">Q2224</f>
        <v>71969</v>
      </c>
      <c r="R2223" s="15"/>
      <c r="T2223" s="15">
        <f t="shared" si="596"/>
        <v>63710</v>
      </c>
    </row>
    <row r="2224" spans="2:20" x14ac:dyDescent="0.25">
      <c r="B2224" s="97">
        <f t="shared" si="597"/>
        <v>52</v>
      </c>
      <c r="C2224" s="9"/>
      <c r="D2224" s="9"/>
      <c r="E2224" s="9"/>
      <c r="F2224" s="54" t="s">
        <v>378</v>
      </c>
      <c r="G2224" s="126">
        <v>714</v>
      </c>
      <c r="H2224" s="9" t="s">
        <v>697</v>
      </c>
      <c r="I2224" s="10"/>
      <c r="J2224" s="10"/>
      <c r="K2224" s="10"/>
      <c r="L2224" s="10"/>
      <c r="M2224" s="10"/>
      <c r="N2224" s="10">
        <v>13200</v>
      </c>
      <c r="O2224" s="10"/>
      <c r="P2224" s="10"/>
      <c r="Q2224" s="10">
        <v>71969</v>
      </c>
      <c r="R2224" s="10"/>
      <c r="T2224" s="10">
        <f t="shared" si="596"/>
        <v>13200</v>
      </c>
    </row>
    <row r="2225" spans="2:20" x14ac:dyDescent="0.25">
      <c r="B2225" s="97">
        <f t="shared" si="597"/>
        <v>53</v>
      </c>
      <c r="C2225" s="9"/>
      <c r="D2225" s="63"/>
      <c r="E2225" s="64"/>
      <c r="F2225" s="54" t="s">
        <v>378</v>
      </c>
      <c r="G2225" s="126">
        <v>714</v>
      </c>
      <c r="H2225" s="65" t="s">
        <v>698</v>
      </c>
      <c r="I2225" s="10"/>
      <c r="J2225" s="10"/>
      <c r="K2225" s="10"/>
      <c r="L2225" s="10"/>
      <c r="M2225" s="10"/>
      <c r="N2225" s="10">
        <v>5510</v>
      </c>
      <c r="O2225" s="10"/>
      <c r="P2225" s="10"/>
      <c r="Q2225" s="10"/>
      <c r="R2225" s="10"/>
      <c r="T2225" s="10">
        <f t="shared" si="596"/>
        <v>5510</v>
      </c>
    </row>
    <row r="2226" spans="2:20" x14ac:dyDescent="0.25">
      <c r="B2226" s="97">
        <f t="shared" si="597"/>
        <v>54</v>
      </c>
      <c r="C2226" s="9"/>
      <c r="D2226" s="63"/>
      <c r="E2226" s="64"/>
      <c r="F2226" s="54" t="s">
        <v>378</v>
      </c>
      <c r="G2226" s="126">
        <v>714</v>
      </c>
      <c r="H2226" s="65" t="s">
        <v>699</v>
      </c>
      <c r="I2226" s="10"/>
      <c r="J2226" s="10"/>
      <c r="K2226" s="10"/>
      <c r="L2226" s="10"/>
      <c r="M2226" s="10"/>
      <c r="N2226" s="10">
        <v>45000</v>
      </c>
      <c r="O2226" s="10"/>
      <c r="P2226" s="10"/>
      <c r="Q2226" s="10"/>
      <c r="R2226" s="10"/>
      <c r="T2226" s="10">
        <f t="shared" si="596"/>
        <v>45000</v>
      </c>
    </row>
    <row r="2227" spans="2:20" ht="15.75" x14ac:dyDescent="0.25">
      <c r="B2227" s="97">
        <f t="shared" si="597"/>
        <v>55</v>
      </c>
      <c r="C2227" s="45">
        <v>2</v>
      </c>
      <c r="D2227" s="293" t="s">
        <v>616</v>
      </c>
      <c r="E2227" s="294"/>
      <c r="F2227" s="294"/>
      <c r="G2227" s="294"/>
      <c r="H2227" s="295"/>
      <c r="I2227" s="46">
        <f>I2228+I2236</f>
        <v>2554700</v>
      </c>
      <c r="J2227" s="46">
        <f t="shared" ref="J2227:R2227" si="607">J2236+J2228</f>
        <v>2824300</v>
      </c>
      <c r="K2227" s="46">
        <f t="shared" si="607"/>
        <v>2637000</v>
      </c>
      <c r="L2227" s="46">
        <f t="shared" si="607"/>
        <v>3035669.99</v>
      </c>
      <c r="M2227" s="46">
        <f t="shared" si="607"/>
        <v>3573243.99</v>
      </c>
      <c r="N2227" s="46">
        <f>N2228+N2236</f>
        <v>65060</v>
      </c>
      <c r="O2227" s="46">
        <f t="shared" si="607"/>
        <v>65060</v>
      </c>
      <c r="P2227" s="46">
        <f t="shared" si="607"/>
        <v>80060</v>
      </c>
      <c r="Q2227" s="46">
        <f t="shared" si="607"/>
        <v>89167</v>
      </c>
      <c r="R2227" s="46">
        <f t="shared" si="607"/>
        <v>83433</v>
      </c>
      <c r="T2227" s="46">
        <f t="shared" si="596"/>
        <v>2619760</v>
      </c>
    </row>
    <row r="2228" spans="2:20" x14ac:dyDescent="0.25">
      <c r="B2228" s="97">
        <f t="shared" si="597"/>
        <v>56</v>
      </c>
      <c r="C2228" s="47"/>
      <c r="D2228" s="47">
        <v>1</v>
      </c>
      <c r="E2228" s="296" t="s">
        <v>617</v>
      </c>
      <c r="F2228" s="294"/>
      <c r="G2228" s="294"/>
      <c r="H2228" s="295"/>
      <c r="I2228" s="48">
        <f>I2230</f>
        <v>2552400</v>
      </c>
      <c r="J2228" s="48">
        <f t="shared" ref="J2228:M2231" si="608">J2229</f>
        <v>2822000</v>
      </c>
      <c r="K2228" s="48">
        <f t="shared" si="608"/>
        <v>2634700</v>
      </c>
      <c r="L2228" s="48">
        <f t="shared" si="608"/>
        <v>3033370</v>
      </c>
      <c r="M2228" s="48">
        <f t="shared" si="608"/>
        <v>3570944</v>
      </c>
      <c r="N2228" s="48"/>
      <c r="O2228" s="48">
        <f t="shared" ref="O2228:R2230" si="609">O2229</f>
        <v>0</v>
      </c>
      <c r="P2228" s="48">
        <f>P2229</f>
        <v>15000</v>
      </c>
      <c r="Q2228" s="48">
        <f t="shared" si="609"/>
        <v>933</v>
      </c>
      <c r="R2228" s="48">
        <f t="shared" si="609"/>
        <v>0</v>
      </c>
      <c r="T2228" s="48">
        <f t="shared" si="596"/>
        <v>2552400</v>
      </c>
    </row>
    <row r="2229" spans="2:20" hidden="1" x14ac:dyDescent="0.25">
      <c r="B2229" s="97">
        <f t="shared" si="597"/>
        <v>57</v>
      </c>
      <c r="C2229" s="49"/>
      <c r="D2229" s="49"/>
      <c r="E2229" s="49"/>
      <c r="F2229" s="49"/>
      <c r="G2229" s="123"/>
      <c r="H2229" s="49" t="s">
        <v>12</v>
      </c>
      <c r="I2229" s="50" t="e">
        <f>#REF!+#REF!</f>
        <v>#REF!</v>
      </c>
      <c r="J2229" s="50">
        <f t="shared" si="608"/>
        <v>2822000</v>
      </c>
      <c r="K2229" s="50">
        <f t="shared" si="608"/>
        <v>2634700</v>
      </c>
      <c r="L2229" s="50">
        <f t="shared" si="608"/>
        <v>3033370</v>
      </c>
      <c r="M2229" s="50">
        <f t="shared" si="608"/>
        <v>3570944</v>
      </c>
      <c r="N2229" s="50" t="e">
        <f>#REF!+#REF!</f>
        <v>#REF!</v>
      </c>
      <c r="O2229" s="50">
        <f t="shared" si="609"/>
        <v>0</v>
      </c>
      <c r="P2229" s="50">
        <f t="shared" si="609"/>
        <v>15000</v>
      </c>
      <c r="Q2229" s="50">
        <f t="shared" si="609"/>
        <v>933</v>
      </c>
      <c r="R2229" s="50">
        <f t="shared" si="609"/>
        <v>0</v>
      </c>
      <c r="T2229" s="50" t="e">
        <f t="shared" si="596"/>
        <v>#REF!</v>
      </c>
    </row>
    <row r="2230" spans="2:20" ht="15" hidden="1" customHeight="1" x14ac:dyDescent="0.25">
      <c r="B2230" s="97">
        <f t="shared" si="597"/>
        <v>58</v>
      </c>
      <c r="C2230" s="51"/>
      <c r="D2230" s="51"/>
      <c r="E2230" s="51" t="s">
        <v>60</v>
      </c>
      <c r="F2230" s="51"/>
      <c r="G2230" s="124"/>
      <c r="H2230" s="51"/>
      <c r="I2230" s="52">
        <f>I2231</f>
        <v>2552400</v>
      </c>
      <c r="J2230" s="52">
        <f t="shared" si="608"/>
        <v>2822000</v>
      </c>
      <c r="K2230" s="52">
        <f t="shared" si="608"/>
        <v>2634700</v>
      </c>
      <c r="L2230" s="52">
        <f t="shared" si="608"/>
        <v>3033370</v>
      </c>
      <c r="M2230" s="52">
        <f t="shared" si="608"/>
        <v>3570944</v>
      </c>
      <c r="N2230" s="52"/>
      <c r="O2230" s="52">
        <f t="shared" si="609"/>
        <v>0</v>
      </c>
      <c r="P2230" s="52">
        <f>P2231+P2234</f>
        <v>15000</v>
      </c>
      <c r="Q2230" s="52">
        <f>Q2231+Q2235+Q2234</f>
        <v>933</v>
      </c>
      <c r="R2230" s="52">
        <f t="shared" si="609"/>
        <v>0</v>
      </c>
      <c r="T2230" s="52">
        <f t="shared" si="596"/>
        <v>2552400</v>
      </c>
    </row>
    <row r="2231" spans="2:20" x14ac:dyDescent="0.25">
      <c r="B2231" s="97">
        <f t="shared" si="597"/>
        <v>59</v>
      </c>
      <c r="C2231" s="29"/>
      <c r="D2231" s="29"/>
      <c r="E2231" s="29"/>
      <c r="F2231" s="53" t="s">
        <v>419</v>
      </c>
      <c r="G2231" s="125">
        <v>630</v>
      </c>
      <c r="H2231" s="29" t="s">
        <v>303</v>
      </c>
      <c r="I2231" s="15">
        <f>SUM(I2232:I2233)</f>
        <v>2552400</v>
      </c>
      <c r="J2231" s="15">
        <f t="shared" si="608"/>
        <v>2822000</v>
      </c>
      <c r="K2231" s="15">
        <f t="shared" si="608"/>
        <v>2634700</v>
      </c>
      <c r="L2231" s="15">
        <f t="shared" si="608"/>
        <v>3033370</v>
      </c>
      <c r="M2231" s="15">
        <f t="shared" si="608"/>
        <v>3570944</v>
      </c>
      <c r="N2231" s="15"/>
      <c r="O2231" s="15"/>
      <c r="P2231" s="15"/>
      <c r="Q2231" s="15"/>
      <c r="R2231" s="15"/>
      <c r="T2231" s="15">
        <f t="shared" si="596"/>
        <v>2552400</v>
      </c>
    </row>
    <row r="2232" spans="2:20" x14ac:dyDescent="0.25">
      <c r="B2232" s="97">
        <f t="shared" si="597"/>
        <v>60</v>
      </c>
      <c r="C2232" s="9"/>
      <c r="D2232" s="9"/>
      <c r="E2232" s="9"/>
      <c r="F2232" s="54" t="s">
        <v>419</v>
      </c>
      <c r="G2232" s="126">
        <v>637</v>
      </c>
      <c r="H2232" s="9" t="s">
        <v>308</v>
      </c>
      <c r="I2232" s="10">
        <v>2551200</v>
      </c>
      <c r="J2232" s="10">
        <v>2822000</v>
      </c>
      <c r="K2232" s="10">
        <v>2634700</v>
      </c>
      <c r="L2232" s="10">
        <v>3033370</v>
      </c>
      <c r="M2232" s="10">
        <v>3570944</v>
      </c>
      <c r="N2232" s="10"/>
      <c r="O2232" s="10"/>
      <c r="P2232" s="10"/>
      <c r="Q2232" s="10"/>
      <c r="R2232" s="10"/>
      <c r="T2232" s="10">
        <f t="shared" si="596"/>
        <v>2551200</v>
      </c>
    </row>
    <row r="2233" spans="2:20" x14ac:dyDescent="0.25">
      <c r="B2233" s="97">
        <f t="shared" si="597"/>
        <v>61</v>
      </c>
      <c r="C2233" s="9"/>
      <c r="D2233" s="9"/>
      <c r="E2233" s="63"/>
      <c r="F2233" s="54" t="s">
        <v>618</v>
      </c>
      <c r="G2233" s="126">
        <v>637</v>
      </c>
      <c r="H2233" s="65" t="s">
        <v>619</v>
      </c>
      <c r="I2233" s="10">
        <v>1200</v>
      </c>
      <c r="J2233" s="10"/>
      <c r="K2233" s="10"/>
      <c r="L2233" s="10"/>
      <c r="M2233" s="10"/>
      <c r="N2233" s="10"/>
      <c r="O2233" s="10"/>
      <c r="P2233" s="10"/>
      <c r="Q2233" s="10"/>
      <c r="R2233" s="10"/>
      <c r="T2233" s="10">
        <f t="shared" si="596"/>
        <v>1200</v>
      </c>
    </row>
    <row r="2234" spans="2:20" x14ac:dyDescent="0.25">
      <c r="B2234" s="97">
        <f t="shared" si="597"/>
        <v>62</v>
      </c>
      <c r="C2234" s="9"/>
      <c r="D2234" s="9"/>
      <c r="E2234" s="9"/>
      <c r="F2234" s="54" t="s">
        <v>419</v>
      </c>
      <c r="G2234" s="126">
        <v>717</v>
      </c>
      <c r="H2234" s="65" t="s">
        <v>620</v>
      </c>
      <c r="I2234" s="10"/>
      <c r="J2234" s="10"/>
      <c r="K2234" s="10"/>
      <c r="L2234" s="10"/>
      <c r="M2234" s="10"/>
      <c r="N2234" s="10"/>
      <c r="O2234" s="10"/>
      <c r="P2234" s="10">
        <v>15000</v>
      </c>
      <c r="Q2234" s="10"/>
      <c r="R2234" s="10"/>
      <c r="T2234" s="10">
        <f t="shared" si="596"/>
        <v>0</v>
      </c>
    </row>
    <row r="2235" spans="2:20" x14ac:dyDescent="0.25">
      <c r="B2235" s="97">
        <f t="shared" si="597"/>
        <v>63</v>
      </c>
      <c r="C2235" s="9"/>
      <c r="D2235" s="9"/>
      <c r="E2235" s="9"/>
      <c r="F2235" s="54" t="s">
        <v>419</v>
      </c>
      <c r="G2235" s="126">
        <v>717</v>
      </c>
      <c r="H2235" s="65" t="s">
        <v>621</v>
      </c>
      <c r="I2235" s="10"/>
      <c r="J2235" s="10"/>
      <c r="K2235" s="10"/>
      <c r="L2235" s="10"/>
      <c r="M2235" s="10"/>
      <c r="N2235" s="10"/>
      <c r="O2235" s="10"/>
      <c r="P2235" s="10"/>
      <c r="Q2235" s="10">
        <v>933</v>
      </c>
      <c r="R2235" s="10"/>
      <c r="T2235" s="10">
        <f t="shared" si="596"/>
        <v>0</v>
      </c>
    </row>
    <row r="2236" spans="2:20" x14ac:dyDescent="0.25">
      <c r="B2236" s="97">
        <f t="shared" si="597"/>
        <v>64</v>
      </c>
      <c r="C2236" s="47"/>
      <c r="D2236" s="47">
        <v>2</v>
      </c>
      <c r="E2236" s="296" t="s">
        <v>622</v>
      </c>
      <c r="F2236" s="294"/>
      <c r="G2236" s="294"/>
      <c r="H2236" s="295"/>
      <c r="I2236" s="48">
        <f>I2239</f>
        <v>2300</v>
      </c>
      <c r="J2236" s="48">
        <f t="shared" ref="J2236:M2237" si="610">J2237</f>
        <v>2300</v>
      </c>
      <c r="K2236" s="48">
        <f t="shared" si="610"/>
        <v>2300</v>
      </c>
      <c r="L2236" s="48">
        <f t="shared" si="610"/>
        <v>2299.9899999999998</v>
      </c>
      <c r="M2236" s="48">
        <f t="shared" si="610"/>
        <v>2299.9899999999998</v>
      </c>
      <c r="N2236" s="48">
        <f>N2241</f>
        <v>65060</v>
      </c>
      <c r="O2236" s="48">
        <f t="shared" ref="O2236:R2237" si="611">O2237</f>
        <v>65060</v>
      </c>
      <c r="P2236" s="48">
        <f t="shared" si="611"/>
        <v>65060</v>
      </c>
      <c r="Q2236" s="48">
        <f t="shared" si="611"/>
        <v>88234</v>
      </c>
      <c r="R2236" s="48">
        <f t="shared" si="611"/>
        <v>83433</v>
      </c>
      <c r="T2236" s="48">
        <f t="shared" si="596"/>
        <v>67360</v>
      </c>
    </row>
    <row r="2237" spans="2:20" hidden="1" x14ac:dyDescent="0.25">
      <c r="B2237" s="97">
        <f t="shared" si="597"/>
        <v>65</v>
      </c>
      <c r="C2237" s="49"/>
      <c r="D2237" s="49"/>
      <c r="E2237" s="49"/>
      <c r="F2237" s="49"/>
      <c r="G2237" s="123"/>
      <c r="H2237" s="49" t="s">
        <v>12</v>
      </c>
      <c r="I2237" s="50" t="e">
        <f>#REF!+#REF!</f>
        <v>#REF!</v>
      </c>
      <c r="J2237" s="50">
        <f t="shared" si="610"/>
        <v>2300</v>
      </c>
      <c r="K2237" s="50">
        <f t="shared" si="610"/>
        <v>2300</v>
      </c>
      <c r="L2237" s="50">
        <f t="shared" si="610"/>
        <v>2299.9899999999998</v>
      </c>
      <c r="M2237" s="50">
        <f t="shared" si="610"/>
        <v>2299.9899999999998</v>
      </c>
      <c r="N2237" s="50" t="e">
        <f>#REF!+#REF!</f>
        <v>#REF!</v>
      </c>
      <c r="O2237" s="50">
        <f t="shared" si="611"/>
        <v>65060</v>
      </c>
      <c r="P2237" s="50">
        <f t="shared" si="611"/>
        <v>65060</v>
      </c>
      <c r="Q2237" s="50">
        <f t="shared" si="611"/>
        <v>88234</v>
      </c>
      <c r="R2237" s="50">
        <f t="shared" si="611"/>
        <v>83433</v>
      </c>
      <c r="T2237" s="50" t="e">
        <f t="shared" si="596"/>
        <v>#REF!</v>
      </c>
    </row>
    <row r="2238" spans="2:20" hidden="1" x14ac:dyDescent="0.25">
      <c r="B2238" s="97">
        <f t="shared" si="597"/>
        <v>66</v>
      </c>
      <c r="C2238" s="51"/>
      <c r="D2238" s="51"/>
      <c r="E2238" s="51" t="s">
        <v>60</v>
      </c>
      <c r="F2238" s="51"/>
      <c r="G2238" s="124"/>
      <c r="H2238" s="51" t="s">
        <v>623</v>
      </c>
      <c r="I2238" s="52" t="e">
        <f>#REF!+#REF!</f>
        <v>#REF!</v>
      </c>
      <c r="J2238" s="52">
        <f t="shared" ref="J2238:R2238" si="612">J2241+J2239</f>
        <v>2300</v>
      </c>
      <c r="K2238" s="52">
        <f t="shared" si="612"/>
        <v>2300</v>
      </c>
      <c r="L2238" s="52">
        <f t="shared" si="612"/>
        <v>2299.9899999999998</v>
      </c>
      <c r="M2238" s="52">
        <f t="shared" si="612"/>
        <v>2299.9899999999998</v>
      </c>
      <c r="N2238" s="52" t="e">
        <f>#REF!+#REF!</f>
        <v>#REF!</v>
      </c>
      <c r="O2238" s="52">
        <f t="shared" si="612"/>
        <v>65060</v>
      </c>
      <c r="P2238" s="52">
        <f t="shared" si="612"/>
        <v>65060</v>
      </c>
      <c r="Q2238" s="52">
        <f t="shared" si="612"/>
        <v>88234</v>
      </c>
      <c r="R2238" s="52">
        <f t="shared" si="612"/>
        <v>83433</v>
      </c>
      <c r="T2238" s="52" t="e">
        <f t="shared" ref="T2238:T2301" si="613">I2238+N2238</f>
        <v>#REF!</v>
      </c>
    </row>
    <row r="2239" spans="2:20" x14ac:dyDescent="0.25">
      <c r="B2239" s="97">
        <f t="shared" si="597"/>
        <v>67</v>
      </c>
      <c r="C2239" s="29"/>
      <c r="D2239" s="29"/>
      <c r="E2239" s="29"/>
      <c r="F2239" s="53" t="s">
        <v>419</v>
      </c>
      <c r="G2239" s="125">
        <v>630</v>
      </c>
      <c r="H2239" s="29" t="s">
        <v>303</v>
      </c>
      <c r="I2239" s="15">
        <f>I2240</f>
        <v>2300</v>
      </c>
      <c r="J2239" s="15">
        <f t="shared" ref="J2239:M2239" si="614">J2240</f>
        <v>2300</v>
      </c>
      <c r="K2239" s="15">
        <f t="shared" si="614"/>
        <v>2300</v>
      </c>
      <c r="L2239" s="15">
        <f t="shared" si="614"/>
        <v>2299.9899999999998</v>
      </c>
      <c r="M2239" s="15">
        <f t="shared" si="614"/>
        <v>2299.9899999999998</v>
      </c>
      <c r="N2239" s="15"/>
      <c r="O2239" s="15"/>
      <c r="P2239" s="15"/>
      <c r="Q2239" s="15"/>
      <c r="R2239" s="15"/>
      <c r="T2239" s="15">
        <f t="shared" si="613"/>
        <v>2300</v>
      </c>
    </row>
    <row r="2240" spans="2:20" x14ac:dyDescent="0.25">
      <c r="B2240" s="97">
        <f t="shared" ref="B2240:B2250" si="615">B2239+1</f>
        <v>68</v>
      </c>
      <c r="C2240" s="9"/>
      <c r="D2240" s="9"/>
      <c r="E2240" s="9"/>
      <c r="F2240" s="54" t="s">
        <v>419</v>
      </c>
      <c r="G2240" s="126">
        <v>637</v>
      </c>
      <c r="H2240" s="9" t="s">
        <v>308</v>
      </c>
      <c r="I2240" s="10">
        <v>2300</v>
      </c>
      <c r="J2240" s="10">
        <v>2300</v>
      </c>
      <c r="K2240" s="10">
        <v>2300</v>
      </c>
      <c r="L2240" s="10">
        <v>2299.9899999999998</v>
      </c>
      <c r="M2240" s="10">
        <v>2299.9899999999998</v>
      </c>
      <c r="N2240" s="10"/>
      <c r="O2240" s="10"/>
      <c r="P2240" s="10"/>
      <c r="Q2240" s="10"/>
      <c r="R2240" s="10"/>
      <c r="T2240" s="10">
        <f t="shared" si="613"/>
        <v>2300</v>
      </c>
    </row>
    <row r="2241" spans="2:20" x14ac:dyDescent="0.25">
      <c r="B2241" s="97">
        <f t="shared" si="615"/>
        <v>69</v>
      </c>
      <c r="C2241" s="29"/>
      <c r="D2241" s="29"/>
      <c r="E2241" s="29"/>
      <c r="F2241" s="53" t="s">
        <v>419</v>
      </c>
      <c r="G2241" s="125">
        <v>710</v>
      </c>
      <c r="H2241" s="29" t="s">
        <v>321</v>
      </c>
      <c r="I2241" s="15"/>
      <c r="J2241" s="15"/>
      <c r="K2241" s="15"/>
      <c r="L2241" s="15"/>
      <c r="M2241" s="15"/>
      <c r="N2241" s="15">
        <f>N2242</f>
        <v>65060</v>
      </c>
      <c r="O2241" s="15">
        <f t="shared" ref="O2241:R2241" si="616">O2242</f>
        <v>65060</v>
      </c>
      <c r="P2241" s="15">
        <f t="shared" si="616"/>
        <v>65060</v>
      </c>
      <c r="Q2241" s="15">
        <f t="shared" si="616"/>
        <v>88234</v>
      </c>
      <c r="R2241" s="15">
        <f t="shared" si="616"/>
        <v>83433</v>
      </c>
      <c r="T2241" s="15">
        <f t="shared" si="613"/>
        <v>65060</v>
      </c>
    </row>
    <row r="2242" spans="2:20" x14ac:dyDescent="0.25">
      <c r="B2242" s="97">
        <f t="shared" si="615"/>
        <v>70</v>
      </c>
      <c r="C2242" s="9"/>
      <c r="D2242" s="9"/>
      <c r="E2242" s="9"/>
      <c r="F2242" s="54" t="s">
        <v>419</v>
      </c>
      <c r="G2242" s="126">
        <v>717</v>
      </c>
      <c r="H2242" s="9" t="s">
        <v>327</v>
      </c>
      <c r="I2242" s="10"/>
      <c r="J2242" s="10"/>
      <c r="K2242" s="10"/>
      <c r="L2242" s="10"/>
      <c r="M2242" s="10"/>
      <c r="N2242" s="10">
        <f>N2243</f>
        <v>65060</v>
      </c>
      <c r="O2242" s="10">
        <f t="shared" ref="O2242:P2242" si="617">O2244+O2243</f>
        <v>65060</v>
      </c>
      <c r="P2242" s="10">
        <f t="shared" si="617"/>
        <v>65060</v>
      </c>
      <c r="Q2242" s="10">
        <f>Q2244+Q2243</f>
        <v>88234</v>
      </c>
      <c r="R2242" s="10">
        <f>R2244+R2243+R2245</f>
        <v>83433</v>
      </c>
      <c r="T2242" s="10">
        <f t="shared" si="613"/>
        <v>65060</v>
      </c>
    </row>
    <row r="2243" spans="2:20" x14ac:dyDescent="0.25">
      <c r="B2243" s="97">
        <f t="shared" si="615"/>
        <v>71</v>
      </c>
      <c r="C2243" s="12"/>
      <c r="D2243" s="12"/>
      <c r="E2243" s="12"/>
      <c r="F2243" s="12"/>
      <c r="G2243" s="127"/>
      <c r="H2243" s="12" t="s">
        <v>624</v>
      </c>
      <c r="I2243" s="13"/>
      <c r="J2243" s="13"/>
      <c r="K2243" s="13"/>
      <c r="L2243" s="13"/>
      <c r="M2243" s="13"/>
      <c r="N2243" s="13">
        <v>65060</v>
      </c>
      <c r="O2243" s="13">
        <v>65060</v>
      </c>
      <c r="P2243" s="13">
        <v>65060</v>
      </c>
      <c r="Q2243" s="13">
        <v>65060</v>
      </c>
      <c r="R2243" s="13">
        <v>65060</v>
      </c>
      <c r="T2243" s="13">
        <f t="shared" si="613"/>
        <v>65060</v>
      </c>
    </row>
    <row r="2244" spans="2:20" x14ac:dyDescent="0.25">
      <c r="B2244" s="97">
        <f t="shared" si="615"/>
        <v>72</v>
      </c>
      <c r="C2244" s="12"/>
      <c r="D2244" s="12"/>
      <c r="E2244" s="12"/>
      <c r="F2244" s="12"/>
      <c r="G2244" s="127"/>
      <c r="H2244" s="12" t="s">
        <v>625</v>
      </c>
      <c r="I2244" s="13"/>
      <c r="J2244" s="13"/>
      <c r="K2244" s="13"/>
      <c r="L2244" s="13"/>
      <c r="M2244" s="13"/>
      <c r="N2244" s="13"/>
      <c r="O2244" s="13"/>
      <c r="P2244" s="13"/>
      <c r="Q2244" s="13">
        <v>23174</v>
      </c>
      <c r="R2244" s="13">
        <v>17381</v>
      </c>
      <c r="T2244" s="13">
        <f t="shared" si="613"/>
        <v>0</v>
      </c>
    </row>
    <row r="2245" spans="2:20" x14ac:dyDescent="0.25">
      <c r="B2245" s="97">
        <f t="shared" si="615"/>
        <v>73</v>
      </c>
      <c r="C2245" s="12"/>
      <c r="D2245" s="57"/>
      <c r="E2245" s="12"/>
      <c r="F2245" s="12"/>
      <c r="G2245" s="127"/>
      <c r="H2245" s="59" t="s">
        <v>605</v>
      </c>
      <c r="I2245" s="13"/>
      <c r="J2245" s="13"/>
      <c r="K2245" s="13"/>
      <c r="L2245" s="13"/>
      <c r="M2245" s="13"/>
      <c r="N2245" s="13"/>
      <c r="O2245" s="13"/>
      <c r="P2245" s="13"/>
      <c r="Q2245" s="13"/>
      <c r="R2245" s="13">
        <v>992</v>
      </c>
      <c r="T2245" s="13">
        <f t="shared" si="613"/>
        <v>0</v>
      </c>
    </row>
    <row r="2246" spans="2:20" ht="15.75" x14ac:dyDescent="0.25">
      <c r="B2246" s="97">
        <f t="shared" si="615"/>
        <v>74</v>
      </c>
      <c r="C2246" s="45">
        <v>3</v>
      </c>
      <c r="D2246" s="293" t="s">
        <v>626</v>
      </c>
      <c r="E2246" s="294"/>
      <c r="F2246" s="294"/>
      <c r="G2246" s="294"/>
      <c r="H2246" s="295"/>
      <c r="I2246" s="46">
        <f>I2250+I2255+I2257</f>
        <v>15000</v>
      </c>
      <c r="J2246" s="46">
        <f t="shared" ref="J2246:M2248" si="618">J2247</f>
        <v>9200</v>
      </c>
      <c r="K2246" s="46">
        <f t="shared" si="618"/>
        <v>29150</v>
      </c>
      <c r="L2246" s="46">
        <f t="shared" si="618"/>
        <v>15630</v>
      </c>
      <c r="M2246" s="46">
        <f t="shared" si="618"/>
        <v>7049.79</v>
      </c>
      <c r="N2246" s="46">
        <f>N2259</f>
        <v>3500</v>
      </c>
      <c r="O2246" s="46">
        <f t="shared" ref="O2246:R2248" si="619">O2247</f>
        <v>0</v>
      </c>
      <c r="P2246" s="46">
        <f>P2259</f>
        <v>3500</v>
      </c>
      <c r="Q2246" s="46">
        <f t="shared" si="619"/>
        <v>0</v>
      </c>
      <c r="R2246" s="46">
        <f t="shared" si="619"/>
        <v>0</v>
      </c>
      <c r="T2246" s="46">
        <f t="shared" si="613"/>
        <v>18500</v>
      </c>
    </row>
    <row r="2247" spans="2:20" ht="15" hidden="1" customHeight="1" x14ac:dyDescent="0.25">
      <c r="B2247" s="97">
        <f t="shared" si="615"/>
        <v>75</v>
      </c>
      <c r="C2247" s="47"/>
      <c r="D2247" s="47" t="s">
        <v>60</v>
      </c>
      <c r="E2247" s="296"/>
      <c r="F2247" s="294"/>
      <c r="G2247" s="294"/>
      <c r="H2247" s="295"/>
      <c r="I2247" s="48" t="e">
        <f>#REF!+#REF!</f>
        <v>#REF!</v>
      </c>
      <c r="J2247" s="48">
        <f t="shared" si="618"/>
        <v>9200</v>
      </c>
      <c r="K2247" s="48">
        <f t="shared" si="618"/>
        <v>29150</v>
      </c>
      <c r="L2247" s="48">
        <f t="shared" si="618"/>
        <v>15630</v>
      </c>
      <c r="M2247" s="48">
        <f t="shared" si="618"/>
        <v>7049.79</v>
      </c>
      <c r="N2247" s="48" t="e">
        <f>#REF!+#REF!</f>
        <v>#REF!</v>
      </c>
      <c r="O2247" s="48">
        <f t="shared" si="619"/>
        <v>0</v>
      </c>
      <c r="P2247" s="48">
        <f t="shared" si="619"/>
        <v>0</v>
      </c>
      <c r="Q2247" s="48">
        <f t="shared" si="619"/>
        <v>0</v>
      </c>
      <c r="R2247" s="48">
        <f t="shared" si="619"/>
        <v>0</v>
      </c>
      <c r="T2247" s="48" t="e">
        <f t="shared" si="613"/>
        <v>#REF!</v>
      </c>
    </row>
    <row r="2248" spans="2:20" ht="0.75" hidden="1" customHeight="1" x14ac:dyDescent="0.25">
      <c r="B2248" s="97">
        <f t="shared" si="615"/>
        <v>76</v>
      </c>
      <c r="C2248" s="49"/>
      <c r="D2248" s="49"/>
      <c r="E2248" s="49"/>
      <c r="F2248" s="49"/>
      <c r="G2248" s="123"/>
      <c r="H2248" s="49" t="s">
        <v>12</v>
      </c>
      <c r="I2248" s="50" t="e">
        <f>#REF!+#REF!</f>
        <v>#REF!</v>
      </c>
      <c r="J2248" s="50">
        <f t="shared" si="618"/>
        <v>9200</v>
      </c>
      <c r="K2248" s="50">
        <f t="shared" si="618"/>
        <v>29150</v>
      </c>
      <c r="L2248" s="50">
        <f t="shared" si="618"/>
        <v>15630</v>
      </c>
      <c r="M2248" s="50">
        <f t="shared" si="618"/>
        <v>7049.79</v>
      </c>
      <c r="N2248" s="50" t="e">
        <f>#REF!+#REF!</f>
        <v>#REF!</v>
      </c>
      <c r="O2248" s="50">
        <f t="shared" si="619"/>
        <v>0</v>
      </c>
      <c r="P2248" s="50">
        <f t="shared" si="619"/>
        <v>0</v>
      </c>
      <c r="Q2248" s="50">
        <f t="shared" si="619"/>
        <v>0</v>
      </c>
      <c r="R2248" s="50">
        <f t="shared" si="619"/>
        <v>0</v>
      </c>
      <c r="T2248" s="50" t="e">
        <f t="shared" si="613"/>
        <v>#REF!</v>
      </c>
    </row>
    <row r="2249" spans="2:20" ht="15" hidden="1" customHeight="1" x14ac:dyDescent="0.25">
      <c r="B2249" s="97">
        <f t="shared" si="615"/>
        <v>77</v>
      </c>
      <c r="C2249" s="51"/>
      <c r="D2249" s="51"/>
      <c r="E2249" s="51" t="s">
        <v>60</v>
      </c>
      <c r="F2249" s="51"/>
      <c r="G2249" s="124"/>
      <c r="H2249" s="51"/>
      <c r="I2249" s="52">
        <f>I2250+I2253+I2255+I2257</f>
        <v>15000</v>
      </c>
      <c r="J2249" s="52">
        <f t="shared" ref="J2249:R2249" si="620">J2255+J2253+J2250</f>
        <v>9200</v>
      </c>
      <c r="K2249" s="52">
        <f>K2255+K2253+K2250+K2257+K2262</f>
        <v>29150</v>
      </c>
      <c r="L2249" s="52">
        <f t="shared" si="620"/>
        <v>15630</v>
      </c>
      <c r="M2249" s="52">
        <f t="shared" si="620"/>
        <v>7049.79</v>
      </c>
      <c r="N2249" s="52"/>
      <c r="O2249" s="52">
        <f t="shared" si="620"/>
        <v>0</v>
      </c>
      <c r="P2249" s="52">
        <f t="shared" si="620"/>
        <v>0</v>
      </c>
      <c r="Q2249" s="52">
        <f t="shared" si="620"/>
        <v>0</v>
      </c>
      <c r="R2249" s="52">
        <f t="shared" si="620"/>
        <v>0</v>
      </c>
      <c r="T2249" s="52">
        <f t="shared" si="613"/>
        <v>15000</v>
      </c>
    </row>
    <row r="2250" spans="2:20" x14ac:dyDescent="0.25">
      <c r="B2250" s="97">
        <f t="shared" si="615"/>
        <v>78</v>
      </c>
      <c r="C2250" s="29"/>
      <c r="D2250" s="29"/>
      <c r="E2250" s="29"/>
      <c r="F2250" s="53" t="s">
        <v>627</v>
      </c>
      <c r="G2250" s="125">
        <v>630</v>
      </c>
      <c r="H2250" s="29" t="s">
        <v>303</v>
      </c>
      <c r="I2250" s="15">
        <f>SUM(I2251:I2252)</f>
        <v>8000</v>
      </c>
      <c r="J2250" s="15">
        <f t="shared" ref="J2250:M2250" si="621">J2252+J2251</f>
        <v>9200</v>
      </c>
      <c r="K2250" s="15">
        <f t="shared" si="621"/>
        <v>10200</v>
      </c>
      <c r="L2250" s="15">
        <f t="shared" si="621"/>
        <v>8130</v>
      </c>
      <c r="M2250" s="15">
        <f t="shared" si="621"/>
        <v>7049.79</v>
      </c>
      <c r="N2250" s="15"/>
      <c r="O2250" s="15"/>
      <c r="P2250" s="15"/>
      <c r="Q2250" s="15"/>
      <c r="R2250" s="15"/>
      <c r="T2250" s="15">
        <f t="shared" si="613"/>
        <v>8000</v>
      </c>
    </row>
    <row r="2251" spans="2:20" x14ac:dyDescent="0.25">
      <c r="B2251" s="97">
        <f t="shared" ref="B2251:B2303" si="622">B2250+1</f>
        <v>79</v>
      </c>
      <c r="C2251" s="9"/>
      <c r="D2251" s="9"/>
      <c r="E2251" s="9"/>
      <c r="F2251" s="54" t="s">
        <v>627</v>
      </c>
      <c r="G2251" s="126">
        <v>633</v>
      </c>
      <c r="H2251" s="9" t="s">
        <v>305</v>
      </c>
      <c r="I2251" s="10">
        <v>100</v>
      </c>
      <c r="J2251" s="10">
        <v>100</v>
      </c>
      <c r="K2251" s="10">
        <v>100</v>
      </c>
      <c r="L2251" s="10">
        <v>30</v>
      </c>
      <c r="M2251" s="10"/>
      <c r="N2251" s="10"/>
      <c r="O2251" s="10"/>
      <c r="P2251" s="10"/>
      <c r="Q2251" s="10"/>
      <c r="R2251" s="10"/>
      <c r="T2251" s="10">
        <f t="shared" si="613"/>
        <v>100</v>
      </c>
    </row>
    <row r="2252" spans="2:20" x14ac:dyDescent="0.25">
      <c r="B2252" s="97">
        <f t="shared" si="622"/>
        <v>80</v>
      </c>
      <c r="C2252" s="9"/>
      <c r="D2252" s="9"/>
      <c r="E2252" s="9"/>
      <c r="F2252" s="54" t="s">
        <v>627</v>
      </c>
      <c r="G2252" s="126">
        <v>637</v>
      </c>
      <c r="H2252" s="9" t="s">
        <v>308</v>
      </c>
      <c r="I2252" s="10">
        <v>7900</v>
      </c>
      <c r="J2252" s="10">
        <v>9100</v>
      </c>
      <c r="K2252" s="10">
        <v>10100</v>
      </c>
      <c r="L2252" s="10">
        <f>800+300+7000</f>
        <v>8100</v>
      </c>
      <c r="M2252" s="10">
        <v>7049.79</v>
      </c>
      <c r="N2252" s="10"/>
      <c r="O2252" s="10"/>
      <c r="P2252" s="10"/>
      <c r="Q2252" s="10"/>
      <c r="R2252" s="10"/>
      <c r="T2252" s="10">
        <f t="shared" si="613"/>
        <v>7900</v>
      </c>
    </row>
    <row r="2253" spans="2:20" x14ac:dyDescent="0.25">
      <c r="B2253" s="97">
        <f t="shared" si="622"/>
        <v>81</v>
      </c>
      <c r="C2253" s="29"/>
      <c r="D2253" s="29"/>
      <c r="E2253" s="29"/>
      <c r="F2253" s="53" t="s">
        <v>343</v>
      </c>
      <c r="G2253" s="125">
        <v>630</v>
      </c>
      <c r="H2253" s="29" t="s">
        <v>303</v>
      </c>
      <c r="I2253" s="15">
        <f>I2254</f>
        <v>0</v>
      </c>
      <c r="J2253" s="15">
        <f t="shared" ref="J2253:M2253" si="623">J2254</f>
        <v>0</v>
      </c>
      <c r="K2253" s="15">
        <f t="shared" si="623"/>
        <v>9950</v>
      </c>
      <c r="L2253" s="15">
        <f t="shared" si="623"/>
        <v>0</v>
      </c>
      <c r="M2253" s="15">
        <f t="shared" si="623"/>
        <v>0</v>
      </c>
      <c r="N2253" s="15"/>
      <c r="O2253" s="15"/>
      <c r="P2253" s="15"/>
      <c r="Q2253" s="15"/>
      <c r="R2253" s="15"/>
      <c r="T2253" s="15">
        <f t="shared" si="613"/>
        <v>0</v>
      </c>
    </row>
    <row r="2254" spans="2:20" x14ac:dyDescent="0.25">
      <c r="B2254" s="97">
        <f t="shared" si="622"/>
        <v>82</v>
      </c>
      <c r="C2254" s="9"/>
      <c r="D2254" s="9"/>
      <c r="E2254" s="9"/>
      <c r="F2254" s="54" t="s">
        <v>343</v>
      </c>
      <c r="G2254" s="126">
        <v>637</v>
      </c>
      <c r="H2254" s="9" t="s">
        <v>308</v>
      </c>
      <c r="I2254" s="10">
        <v>0</v>
      </c>
      <c r="J2254" s="10">
        <v>0</v>
      </c>
      <c r="K2254" s="10">
        <v>9950</v>
      </c>
      <c r="L2254" s="10">
        <v>0</v>
      </c>
      <c r="M2254" s="10">
        <v>0</v>
      </c>
      <c r="N2254" s="10"/>
      <c r="O2254" s="10"/>
      <c r="P2254" s="10"/>
      <c r="Q2254" s="10"/>
      <c r="R2254" s="10"/>
      <c r="T2254" s="10">
        <f t="shared" si="613"/>
        <v>0</v>
      </c>
    </row>
    <row r="2255" spans="2:20" x14ac:dyDescent="0.25">
      <c r="B2255" s="97">
        <f t="shared" si="622"/>
        <v>83</v>
      </c>
      <c r="C2255" s="29"/>
      <c r="D2255" s="29"/>
      <c r="E2255" s="29"/>
      <c r="F2255" s="53" t="s">
        <v>627</v>
      </c>
      <c r="G2255" s="125">
        <v>640</v>
      </c>
      <c r="H2255" s="29" t="s">
        <v>315</v>
      </c>
      <c r="I2255" s="15">
        <f>I2256</f>
        <v>5000</v>
      </c>
      <c r="J2255" s="15">
        <f t="shared" ref="J2255:M2255" si="624">J2256</f>
        <v>0</v>
      </c>
      <c r="K2255" s="15">
        <f t="shared" si="624"/>
        <v>0</v>
      </c>
      <c r="L2255" s="15">
        <f t="shared" si="624"/>
        <v>7500</v>
      </c>
      <c r="M2255" s="15">
        <f t="shared" si="624"/>
        <v>0</v>
      </c>
      <c r="N2255" s="15"/>
      <c r="O2255" s="15"/>
      <c r="P2255" s="15"/>
      <c r="Q2255" s="15"/>
      <c r="R2255" s="15"/>
      <c r="T2255" s="15">
        <f t="shared" si="613"/>
        <v>5000</v>
      </c>
    </row>
    <row r="2256" spans="2:20" x14ac:dyDescent="0.25">
      <c r="B2256" s="97">
        <f t="shared" si="622"/>
        <v>84</v>
      </c>
      <c r="C2256" s="9"/>
      <c r="D2256" s="9"/>
      <c r="E2256" s="9"/>
      <c r="F2256" s="54" t="s">
        <v>627</v>
      </c>
      <c r="G2256" s="126">
        <v>642</v>
      </c>
      <c r="H2256" s="9" t="s">
        <v>316</v>
      </c>
      <c r="I2256" s="10">
        <v>5000</v>
      </c>
      <c r="J2256" s="10">
        <v>0</v>
      </c>
      <c r="K2256" s="10">
        <v>0</v>
      </c>
      <c r="L2256" s="10">
        <v>7500</v>
      </c>
      <c r="M2256" s="10">
        <v>0</v>
      </c>
      <c r="N2256" s="10"/>
      <c r="O2256" s="10"/>
      <c r="P2256" s="10"/>
      <c r="Q2256" s="10"/>
      <c r="R2256" s="10"/>
      <c r="T2256" s="10">
        <f t="shared" si="613"/>
        <v>5000</v>
      </c>
    </row>
    <row r="2257" spans="2:20" x14ac:dyDescent="0.25">
      <c r="B2257" s="97">
        <f t="shared" si="622"/>
        <v>85</v>
      </c>
      <c r="C2257" s="9"/>
      <c r="D2257" s="9"/>
      <c r="E2257" s="9"/>
      <c r="F2257" s="53" t="s">
        <v>378</v>
      </c>
      <c r="G2257" s="125">
        <v>630</v>
      </c>
      <c r="H2257" s="29" t="s">
        <v>303</v>
      </c>
      <c r="I2257" s="8">
        <f>I2258</f>
        <v>2000</v>
      </c>
      <c r="J2257" s="10"/>
      <c r="K2257" s="8">
        <f>K2258</f>
        <v>2000</v>
      </c>
      <c r="L2257" s="10"/>
      <c r="M2257" s="10"/>
      <c r="N2257" s="10"/>
      <c r="O2257" s="10"/>
      <c r="P2257" s="10"/>
      <c r="Q2257" s="10"/>
      <c r="R2257" s="10"/>
      <c r="T2257" s="10">
        <f t="shared" si="613"/>
        <v>2000</v>
      </c>
    </row>
    <row r="2258" spans="2:20" x14ac:dyDescent="0.25">
      <c r="B2258" s="97">
        <f t="shared" si="622"/>
        <v>86</v>
      </c>
      <c r="C2258" s="9"/>
      <c r="D2258" s="9"/>
      <c r="E2258" s="9"/>
      <c r="F2258" s="54" t="s">
        <v>378</v>
      </c>
      <c r="G2258" s="126">
        <v>635</v>
      </c>
      <c r="H2258" s="158" t="s">
        <v>842</v>
      </c>
      <c r="I2258" s="10">
        <v>2000</v>
      </c>
      <c r="J2258" s="10"/>
      <c r="K2258" s="10">
        <v>2000</v>
      </c>
      <c r="L2258" s="10"/>
      <c r="M2258" s="10"/>
      <c r="N2258" s="10"/>
      <c r="O2258" s="10"/>
      <c r="P2258" s="10"/>
      <c r="Q2258" s="10"/>
      <c r="R2258" s="10"/>
      <c r="T2258" s="10">
        <f t="shared" si="613"/>
        <v>2000</v>
      </c>
    </row>
    <row r="2259" spans="2:20" x14ac:dyDescent="0.25">
      <c r="B2259" s="97">
        <f t="shared" si="622"/>
        <v>87</v>
      </c>
      <c r="C2259" s="9"/>
      <c r="D2259" s="9"/>
      <c r="E2259" s="9"/>
      <c r="F2259" s="53" t="s">
        <v>378</v>
      </c>
      <c r="G2259" s="125">
        <v>710</v>
      </c>
      <c r="H2259" s="29" t="s">
        <v>321</v>
      </c>
      <c r="I2259" s="15"/>
      <c r="J2259" s="15"/>
      <c r="K2259" s="15"/>
      <c r="L2259" s="15"/>
      <c r="M2259" s="15"/>
      <c r="N2259" s="15">
        <f>N2260</f>
        <v>3500</v>
      </c>
      <c r="O2259" s="15"/>
      <c r="P2259" s="15">
        <f t="shared" ref="P2259" si="625">P2260</f>
        <v>3500</v>
      </c>
      <c r="Q2259" s="10"/>
      <c r="R2259" s="10"/>
      <c r="T2259" s="10">
        <f t="shared" si="613"/>
        <v>3500</v>
      </c>
    </row>
    <row r="2260" spans="2:20" x14ac:dyDescent="0.25">
      <c r="B2260" s="97">
        <f t="shared" si="622"/>
        <v>88</v>
      </c>
      <c r="C2260" s="9"/>
      <c r="D2260" s="9"/>
      <c r="E2260" s="9"/>
      <c r="F2260" s="54" t="s">
        <v>378</v>
      </c>
      <c r="G2260" s="126">
        <v>716</v>
      </c>
      <c r="H2260" s="9" t="s">
        <v>323</v>
      </c>
      <c r="I2260" s="10"/>
      <c r="J2260" s="10"/>
      <c r="K2260" s="10"/>
      <c r="L2260" s="10"/>
      <c r="M2260" s="10"/>
      <c r="N2260" s="10">
        <f>N2261</f>
        <v>3500</v>
      </c>
      <c r="O2260" s="10"/>
      <c r="P2260" s="10">
        <v>3500</v>
      </c>
      <c r="Q2260" s="10"/>
      <c r="R2260" s="10"/>
      <c r="T2260" s="10">
        <f t="shared" si="613"/>
        <v>3500</v>
      </c>
    </row>
    <row r="2261" spans="2:20" x14ac:dyDescent="0.25">
      <c r="B2261" s="97">
        <f t="shared" si="622"/>
        <v>89</v>
      </c>
      <c r="C2261" s="9"/>
      <c r="D2261" s="9"/>
      <c r="E2261" s="9"/>
      <c r="F2261" s="54"/>
      <c r="G2261" s="126"/>
      <c r="H2261" s="91" t="s">
        <v>849</v>
      </c>
      <c r="I2261" s="10"/>
      <c r="J2261" s="10"/>
      <c r="K2261" s="10"/>
      <c r="L2261" s="10"/>
      <c r="M2261" s="10"/>
      <c r="N2261" s="13">
        <v>3500</v>
      </c>
      <c r="O2261" s="13"/>
      <c r="P2261" s="13">
        <v>3500</v>
      </c>
      <c r="Q2261" s="10"/>
      <c r="R2261" s="10"/>
      <c r="T2261" s="10">
        <f t="shared" si="613"/>
        <v>3500</v>
      </c>
    </row>
    <row r="2262" spans="2:20" x14ac:dyDescent="0.25">
      <c r="B2262" s="97">
        <f t="shared" si="622"/>
        <v>90</v>
      </c>
      <c r="C2262" s="9"/>
      <c r="D2262" s="9"/>
      <c r="E2262" s="9"/>
      <c r="F2262" s="53" t="s">
        <v>335</v>
      </c>
      <c r="G2262" s="125">
        <v>640</v>
      </c>
      <c r="H2262" s="29" t="s">
        <v>315</v>
      </c>
      <c r="I2262" s="10"/>
      <c r="J2262" s="10"/>
      <c r="K2262" s="8">
        <f>K2263</f>
        <v>7000</v>
      </c>
      <c r="L2262" s="10"/>
      <c r="M2262" s="10"/>
      <c r="N2262" s="13"/>
      <c r="O2262" s="13"/>
      <c r="P2262" s="13"/>
      <c r="Q2262" s="10"/>
      <c r="R2262" s="10"/>
      <c r="T2262" s="10">
        <f t="shared" si="613"/>
        <v>0</v>
      </c>
    </row>
    <row r="2263" spans="2:20" x14ac:dyDescent="0.25">
      <c r="B2263" s="97">
        <f t="shared" si="622"/>
        <v>91</v>
      </c>
      <c r="C2263" s="9"/>
      <c r="D2263" s="9"/>
      <c r="E2263" s="9"/>
      <c r="F2263" s="54" t="s">
        <v>335</v>
      </c>
      <c r="G2263" s="126">
        <v>642</v>
      </c>
      <c r="H2263" s="9" t="s">
        <v>316</v>
      </c>
      <c r="I2263" s="10"/>
      <c r="J2263" s="10"/>
      <c r="K2263" s="10">
        <v>7000</v>
      </c>
      <c r="L2263" s="10"/>
      <c r="M2263" s="10"/>
      <c r="N2263" s="13"/>
      <c r="O2263" s="13"/>
      <c r="P2263" s="13"/>
      <c r="Q2263" s="10"/>
      <c r="R2263" s="10"/>
      <c r="T2263" s="10">
        <f t="shared" si="613"/>
        <v>0</v>
      </c>
    </row>
    <row r="2264" spans="2:20" ht="15.75" x14ac:dyDescent="0.25">
      <c r="B2264" s="97">
        <f t="shared" si="622"/>
        <v>92</v>
      </c>
      <c r="C2264" s="45">
        <v>4</v>
      </c>
      <c r="D2264" s="293" t="s">
        <v>629</v>
      </c>
      <c r="E2264" s="294"/>
      <c r="F2264" s="294"/>
      <c r="G2264" s="294"/>
      <c r="H2264" s="295"/>
      <c r="I2264" s="46">
        <f>I2268</f>
        <v>20000</v>
      </c>
      <c r="J2264" s="46">
        <f t="shared" ref="J2264:M2269" si="626">J2265</f>
        <v>20000</v>
      </c>
      <c r="K2264" s="46">
        <f t="shared" si="626"/>
        <v>20000</v>
      </c>
      <c r="L2264" s="46">
        <f t="shared" si="626"/>
        <v>15000</v>
      </c>
      <c r="M2264" s="46">
        <f t="shared" si="626"/>
        <v>15798</v>
      </c>
      <c r="N2264" s="46">
        <v>0</v>
      </c>
      <c r="O2264" s="46">
        <f t="shared" ref="O2264:R2267" si="627">O2265</f>
        <v>0</v>
      </c>
      <c r="P2264" s="46">
        <f t="shared" si="627"/>
        <v>0</v>
      </c>
      <c r="Q2264" s="46">
        <f t="shared" si="627"/>
        <v>0</v>
      </c>
      <c r="R2264" s="46">
        <f t="shared" si="627"/>
        <v>0</v>
      </c>
      <c r="T2264" s="46">
        <f t="shared" si="613"/>
        <v>20000</v>
      </c>
    </row>
    <row r="2265" spans="2:20" hidden="1" x14ac:dyDescent="0.25">
      <c r="B2265" s="97">
        <f t="shared" si="622"/>
        <v>93</v>
      </c>
      <c r="C2265" s="47"/>
      <c r="D2265" s="47" t="s">
        <v>60</v>
      </c>
      <c r="E2265" s="296"/>
      <c r="F2265" s="294"/>
      <c r="G2265" s="294"/>
      <c r="H2265" s="295"/>
      <c r="I2265" s="48" t="e">
        <f>#REF!+#REF!</f>
        <v>#REF!</v>
      </c>
      <c r="J2265" s="48">
        <f t="shared" si="626"/>
        <v>20000</v>
      </c>
      <c r="K2265" s="48">
        <f t="shared" si="626"/>
        <v>20000</v>
      </c>
      <c r="L2265" s="48">
        <f t="shared" si="626"/>
        <v>15000</v>
      </c>
      <c r="M2265" s="48">
        <f t="shared" si="626"/>
        <v>15798</v>
      </c>
      <c r="N2265" s="48" t="e">
        <f>#REF!+#REF!</f>
        <v>#REF!</v>
      </c>
      <c r="O2265" s="48">
        <f t="shared" si="627"/>
        <v>0</v>
      </c>
      <c r="P2265" s="48">
        <f t="shared" si="627"/>
        <v>0</v>
      </c>
      <c r="Q2265" s="48">
        <f t="shared" si="627"/>
        <v>0</v>
      </c>
      <c r="R2265" s="48">
        <f t="shared" si="627"/>
        <v>0</v>
      </c>
      <c r="T2265" s="48" t="e">
        <f t="shared" si="613"/>
        <v>#REF!</v>
      </c>
    </row>
    <row r="2266" spans="2:20" hidden="1" x14ac:dyDescent="0.25">
      <c r="B2266" s="97">
        <f t="shared" si="622"/>
        <v>94</v>
      </c>
      <c r="C2266" s="49"/>
      <c r="D2266" s="49"/>
      <c r="E2266" s="49"/>
      <c r="F2266" s="49"/>
      <c r="G2266" s="123"/>
      <c r="H2266" s="49" t="s">
        <v>12</v>
      </c>
      <c r="I2266" s="50" t="e">
        <f>#REF!+#REF!</f>
        <v>#REF!</v>
      </c>
      <c r="J2266" s="50">
        <f t="shared" si="626"/>
        <v>20000</v>
      </c>
      <c r="K2266" s="50">
        <f t="shared" si="626"/>
        <v>20000</v>
      </c>
      <c r="L2266" s="50">
        <f t="shared" si="626"/>
        <v>15000</v>
      </c>
      <c r="M2266" s="50">
        <f t="shared" si="626"/>
        <v>15798</v>
      </c>
      <c r="N2266" s="50" t="e">
        <f>#REF!+#REF!</f>
        <v>#REF!</v>
      </c>
      <c r="O2266" s="50">
        <f t="shared" si="627"/>
        <v>0</v>
      </c>
      <c r="P2266" s="50">
        <f t="shared" si="627"/>
        <v>0</v>
      </c>
      <c r="Q2266" s="50">
        <f t="shared" si="627"/>
        <v>0</v>
      </c>
      <c r="R2266" s="50">
        <f t="shared" si="627"/>
        <v>0</v>
      </c>
      <c r="T2266" s="50" t="e">
        <f t="shared" si="613"/>
        <v>#REF!</v>
      </c>
    </row>
    <row r="2267" spans="2:20" hidden="1" x14ac:dyDescent="0.25">
      <c r="B2267" s="97">
        <f t="shared" si="622"/>
        <v>95</v>
      </c>
      <c r="C2267" s="51"/>
      <c r="D2267" s="51"/>
      <c r="E2267" s="51" t="s">
        <v>60</v>
      </c>
      <c r="F2267" s="51"/>
      <c r="G2267" s="124"/>
      <c r="H2267" s="51"/>
      <c r="I2267" s="52" t="e">
        <f>#REF!+#REF!</f>
        <v>#REF!</v>
      </c>
      <c r="J2267" s="52">
        <f t="shared" si="626"/>
        <v>20000</v>
      </c>
      <c r="K2267" s="52">
        <f t="shared" si="626"/>
        <v>20000</v>
      </c>
      <c r="L2267" s="52">
        <f t="shared" si="626"/>
        <v>15000</v>
      </c>
      <c r="M2267" s="52">
        <f t="shared" si="626"/>
        <v>15798</v>
      </c>
      <c r="N2267" s="52" t="e">
        <f>#REF!+#REF!</f>
        <v>#REF!</v>
      </c>
      <c r="O2267" s="52">
        <f t="shared" si="627"/>
        <v>0</v>
      </c>
      <c r="P2267" s="52">
        <f t="shared" si="627"/>
        <v>0</v>
      </c>
      <c r="Q2267" s="52">
        <f t="shared" si="627"/>
        <v>0</v>
      </c>
      <c r="R2267" s="52">
        <f t="shared" si="627"/>
        <v>0</v>
      </c>
      <c r="T2267" s="52" t="e">
        <f t="shared" si="613"/>
        <v>#REF!</v>
      </c>
    </row>
    <row r="2268" spans="2:20" x14ac:dyDescent="0.25">
      <c r="B2268" s="97">
        <f t="shared" si="622"/>
        <v>96</v>
      </c>
      <c r="C2268" s="29"/>
      <c r="D2268" s="29"/>
      <c r="E2268" s="29"/>
      <c r="F2268" s="53" t="s">
        <v>378</v>
      </c>
      <c r="G2268" s="125">
        <v>640</v>
      </c>
      <c r="H2268" s="29" t="s">
        <v>315</v>
      </c>
      <c r="I2268" s="15">
        <f>I2269</f>
        <v>20000</v>
      </c>
      <c r="J2268" s="15">
        <f t="shared" si="626"/>
        <v>20000</v>
      </c>
      <c r="K2268" s="15">
        <f t="shared" si="626"/>
        <v>20000</v>
      </c>
      <c r="L2268" s="15">
        <f t="shared" si="626"/>
        <v>15000</v>
      </c>
      <c r="M2268" s="15">
        <f t="shared" si="626"/>
        <v>15798</v>
      </c>
      <c r="N2268" s="15"/>
      <c r="O2268" s="15"/>
      <c r="P2268" s="15"/>
      <c r="Q2268" s="15"/>
      <c r="R2268" s="15"/>
      <c r="T2268" s="15">
        <f t="shared" si="613"/>
        <v>20000</v>
      </c>
    </row>
    <row r="2269" spans="2:20" x14ac:dyDescent="0.25">
      <c r="B2269" s="97">
        <f t="shared" si="622"/>
        <v>97</v>
      </c>
      <c r="C2269" s="9"/>
      <c r="D2269" s="9"/>
      <c r="E2269" s="9"/>
      <c r="F2269" s="54" t="s">
        <v>378</v>
      </c>
      <c r="G2269" s="126">
        <v>642</v>
      </c>
      <c r="H2269" s="9" t="s">
        <v>316</v>
      </c>
      <c r="I2269" s="10">
        <f>I2270</f>
        <v>20000</v>
      </c>
      <c r="J2269" s="10">
        <f t="shared" si="626"/>
        <v>20000</v>
      </c>
      <c r="K2269" s="10">
        <f t="shared" si="626"/>
        <v>20000</v>
      </c>
      <c r="L2269" s="10">
        <f t="shared" si="626"/>
        <v>15000</v>
      </c>
      <c r="M2269" s="10">
        <f t="shared" si="626"/>
        <v>15798</v>
      </c>
      <c r="N2269" s="10"/>
      <c r="O2269" s="10"/>
      <c r="P2269" s="10"/>
      <c r="Q2269" s="10"/>
      <c r="R2269" s="10"/>
      <c r="T2269" s="10">
        <f t="shared" si="613"/>
        <v>20000</v>
      </c>
    </row>
    <row r="2270" spans="2:20" x14ac:dyDescent="0.25">
      <c r="B2270" s="97">
        <f t="shared" si="622"/>
        <v>98</v>
      </c>
      <c r="C2270" s="12"/>
      <c r="D2270" s="12"/>
      <c r="E2270" s="12"/>
      <c r="F2270" s="12"/>
      <c r="G2270" s="127"/>
      <c r="H2270" s="95" t="s">
        <v>702</v>
      </c>
      <c r="I2270" s="13">
        <v>20000</v>
      </c>
      <c r="J2270" s="13">
        <v>20000</v>
      </c>
      <c r="K2270" s="13">
        <v>20000</v>
      </c>
      <c r="L2270" s="13">
        <v>15000</v>
      </c>
      <c r="M2270" s="13">
        <v>15798</v>
      </c>
      <c r="N2270" s="13"/>
      <c r="O2270" s="13"/>
      <c r="P2270" s="13"/>
      <c r="Q2270" s="13"/>
      <c r="R2270" s="13"/>
      <c r="T2270" s="13">
        <f t="shared" si="613"/>
        <v>20000</v>
      </c>
    </row>
    <row r="2271" spans="2:20" ht="15.75" x14ac:dyDescent="0.25">
      <c r="B2271" s="97">
        <f t="shared" si="622"/>
        <v>99</v>
      </c>
      <c r="C2271" s="45">
        <v>5</v>
      </c>
      <c r="D2271" s="293" t="s">
        <v>630</v>
      </c>
      <c r="E2271" s="294"/>
      <c r="F2271" s="294"/>
      <c r="G2271" s="294"/>
      <c r="H2271" s="295"/>
      <c r="I2271" s="46">
        <f>I2275</f>
        <v>7350</v>
      </c>
      <c r="J2271" s="46">
        <f t="shared" ref="J2271:R2271" si="628">J2275</f>
        <v>9650</v>
      </c>
      <c r="K2271" s="46">
        <f t="shared" si="628"/>
        <v>8650</v>
      </c>
      <c r="L2271" s="46">
        <f t="shared" si="628"/>
        <v>5520</v>
      </c>
      <c r="M2271" s="46">
        <f t="shared" si="628"/>
        <v>6362</v>
      </c>
      <c r="N2271" s="46">
        <f t="shared" si="628"/>
        <v>0</v>
      </c>
      <c r="O2271" s="46">
        <f t="shared" si="628"/>
        <v>0</v>
      </c>
      <c r="P2271" s="46">
        <f t="shared" si="628"/>
        <v>16000</v>
      </c>
      <c r="Q2271" s="46">
        <f t="shared" si="628"/>
        <v>0</v>
      </c>
      <c r="R2271" s="46">
        <f t="shared" si="628"/>
        <v>0</v>
      </c>
      <c r="T2271" s="46">
        <f t="shared" si="613"/>
        <v>7350</v>
      </c>
    </row>
    <row r="2272" spans="2:20" hidden="1" x14ac:dyDescent="0.25">
      <c r="B2272" s="97">
        <f t="shared" si="622"/>
        <v>100</v>
      </c>
      <c r="C2272" s="47"/>
      <c r="D2272" s="47" t="s">
        <v>60</v>
      </c>
      <c r="E2272" s="296"/>
      <c r="F2272" s="294"/>
      <c r="G2272" s="294"/>
      <c r="H2272" s="295"/>
      <c r="I2272" s="48" t="e">
        <f>#REF!+#REF!</f>
        <v>#REF!</v>
      </c>
      <c r="J2272" s="48" t="e">
        <f>J2275+J2273</f>
        <v>#REF!</v>
      </c>
      <c r="K2272" s="48" t="e">
        <f>K2275+K2273</f>
        <v>#REF!</v>
      </c>
      <c r="L2272" s="48" t="e">
        <f>L2275+L2273</f>
        <v>#REF!</v>
      </c>
      <c r="M2272" s="48" t="e">
        <f>M2275+M2273</f>
        <v>#REF!</v>
      </c>
      <c r="N2272" s="48" t="e">
        <f>#REF!+#REF!</f>
        <v>#REF!</v>
      </c>
      <c r="O2272" s="48" t="e">
        <f>O2275+O2273</f>
        <v>#REF!</v>
      </c>
      <c r="P2272" s="48" t="e">
        <f>P2275+P2273</f>
        <v>#REF!</v>
      </c>
      <c r="Q2272" s="48" t="e">
        <f>Q2275+Q2273</f>
        <v>#REF!</v>
      </c>
      <c r="R2272" s="48" t="e">
        <f>R2275+R2273</f>
        <v>#REF!</v>
      </c>
      <c r="T2272" s="48" t="e">
        <f t="shared" si="613"/>
        <v>#REF!</v>
      </c>
    </row>
    <row r="2273" spans="2:20" hidden="1" x14ac:dyDescent="0.25">
      <c r="B2273" s="97">
        <f t="shared" si="622"/>
        <v>101</v>
      </c>
      <c r="C2273" s="49"/>
      <c r="D2273" s="49"/>
      <c r="E2273" s="49"/>
      <c r="F2273" s="49"/>
      <c r="G2273" s="123"/>
      <c r="H2273" s="49" t="s">
        <v>12</v>
      </c>
      <c r="I2273" s="50" t="e">
        <f>#REF!+#REF!</f>
        <v>#REF!</v>
      </c>
      <c r="J2273" s="50" t="e">
        <f t="shared" ref="J2273:M2273" si="629">J2274</f>
        <v>#REF!</v>
      </c>
      <c r="K2273" s="50" t="e">
        <f t="shared" si="629"/>
        <v>#REF!</v>
      </c>
      <c r="L2273" s="50" t="e">
        <f t="shared" si="629"/>
        <v>#REF!</v>
      </c>
      <c r="M2273" s="50" t="e">
        <f t="shared" si="629"/>
        <v>#REF!</v>
      </c>
      <c r="N2273" s="50" t="e">
        <f>#REF!+#REF!</f>
        <v>#REF!</v>
      </c>
      <c r="O2273" s="50" t="e">
        <f t="shared" ref="O2273:R2273" si="630">O2274</f>
        <v>#REF!</v>
      </c>
      <c r="P2273" s="50" t="e">
        <f t="shared" si="630"/>
        <v>#REF!</v>
      </c>
      <c r="Q2273" s="50" t="e">
        <f t="shared" si="630"/>
        <v>#REF!</v>
      </c>
      <c r="R2273" s="50" t="e">
        <f t="shared" si="630"/>
        <v>#REF!</v>
      </c>
      <c r="T2273" s="50" t="e">
        <f t="shared" si="613"/>
        <v>#REF!</v>
      </c>
    </row>
    <row r="2274" spans="2:20" hidden="1" x14ac:dyDescent="0.25">
      <c r="B2274" s="97">
        <f t="shared" si="622"/>
        <v>102</v>
      </c>
      <c r="C2274" s="51"/>
      <c r="D2274" s="51"/>
      <c r="E2274" s="51" t="s">
        <v>60</v>
      </c>
      <c r="F2274" s="51"/>
      <c r="G2274" s="124"/>
      <c r="H2274" s="51"/>
      <c r="I2274" s="52" t="e">
        <f>#REF!+#REF!</f>
        <v>#REF!</v>
      </c>
      <c r="J2274" s="52" t="e">
        <f>#REF!</f>
        <v>#REF!</v>
      </c>
      <c r="K2274" s="52" t="e">
        <f>#REF!</f>
        <v>#REF!</v>
      </c>
      <c r="L2274" s="52" t="e">
        <f>#REF!</f>
        <v>#REF!</v>
      </c>
      <c r="M2274" s="52" t="e">
        <f>#REF!</f>
        <v>#REF!</v>
      </c>
      <c r="N2274" s="52" t="e">
        <f>#REF!+#REF!</f>
        <v>#REF!</v>
      </c>
      <c r="O2274" s="52" t="e">
        <f>#REF!</f>
        <v>#REF!</v>
      </c>
      <c r="P2274" s="52" t="e">
        <f>#REF!</f>
        <v>#REF!</v>
      </c>
      <c r="Q2274" s="52" t="e">
        <f>#REF!</f>
        <v>#REF!</v>
      </c>
      <c r="R2274" s="52" t="e">
        <f>#REF!</f>
        <v>#REF!</v>
      </c>
      <c r="T2274" s="52" t="e">
        <f t="shared" si="613"/>
        <v>#REF!</v>
      </c>
    </row>
    <row r="2275" spans="2:20" x14ac:dyDescent="0.25">
      <c r="B2275" s="97">
        <f t="shared" si="622"/>
        <v>103</v>
      </c>
      <c r="C2275" s="49"/>
      <c r="D2275" s="49"/>
      <c r="E2275" s="49">
        <v>2</v>
      </c>
      <c r="F2275" s="49"/>
      <c r="G2275" s="123"/>
      <c r="H2275" s="49" t="s">
        <v>59</v>
      </c>
      <c r="I2275" s="50">
        <f>I2277+I2278+I2279</f>
        <v>7350</v>
      </c>
      <c r="J2275" s="50">
        <f t="shared" ref="J2275:M2275" si="631">J2277+J2278+J2279</f>
        <v>9650</v>
      </c>
      <c r="K2275" s="50">
        <f t="shared" si="631"/>
        <v>8650</v>
      </c>
      <c r="L2275" s="50">
        <f t="shared" si="631"/>
        <v>5520</v>
      </c>
      <c r="M2275" s="50">
        <f t="shared" si="631"/>
        <v>6362</v>
      </c>
      <c r="N2275" s="50">
        <v>0</v>
      </c>
      <c r="O2275" s="50">
        <v>0</v>
      </c>
      <c r="P2275" s="50">
        <f>P2284</f>
        <v>16000</v>
      </c>
      <c r="Q2275" s="50">
        <v>0</v>
      </c>
      <c r="R2275" s="50">
        <v>0</v>
      </c>
      <c r="T2275" s="50">
        <f t="shared" si="613"/>
        <v>7350</v>
      </c>
    </row>
    <row r="2276" spans="2:20" hidden="1" x14ac:dyDescent="0.25">
      <c r="B2276" s="97">
        <f t="shared" si="622"/>
        <v>104</v>
      </c>
      <c r="C2276" s="51"/>
      <c r="D2276" s="51"/>
      <c r="E2276" s="51" t="s">
        <v>60</v>
      </c>
      <c r="F2276" s="51"/>
      <c r="G2276" s="124"/>
      <c r="H2276" s="51" t="s">
        <v>630</v>
      </c>
      <c r="I2276" s="52" t="e">
        <f>#REF!+#REF!</f>
        <v>#REF!</v>
      </c>
      <c r="J2276" s="52" t="e">
        <f>J2284+#REF!+J2279+J2278+J2277</f>
        <v>#REF!</v>
      </c>
      <c r="K2276" s="52" t="e">
        <f>K2284+#REF!+K2279+K2278+K2277</f>
        <v>#REF!</v>
      </c>
      <c r="L2276" s="52" t="e">
        <f>L2284+#REF!+L2279+L2278+L2277</f>
        <v>#REF!</v>
      </c>
      <c r="M2276" s="52" t="e">
        <f>M2284+#REF!+M2279+M2278+M2277</f>
        <v>#REF!</v>
      </c>
      <c r="N2276" s="52" t="e">
        <f>#REF!+#REF!</f>
        <v>#REF!</v>
      </c>
      <c r="O2276" s="52" t="e">
        <f>O2284+#REF!+O2279+O2278+O2277</f>
        <v>#REF!</v>
      </c>
      <c r="P2276" s="52" t="e">
        <f>P2284+#REF!+P2279+P2278+P2277</f>
        <v>#REF!</v>
      </c>
      <c r="Q2276" s="52" t="e">
        <f>Q2284+#REF!+Q2279+Q2278+Q2277</f>
        <v>#REF!</v>
      </c>
      <c r="R2276" s="52" t="e">
        <f>R2284+#REF!+R2279+R2278+R2277</f>
        <v>#REF!</v>
      </c>
      <c r="T2276" s="52" t="e">
        <f t="shared" si="613"/>
        <v>#REF!</v>
      </c>
    </row>
    <row r="2277" spans="2:20" x14ac:dyDescent="0.25">
      <c r="B2277" s="97">
        <f t="shared" si="622"/>
        <v>105</v>
      </c>
      <c r="C2277" s="29"/>
      <c r="D2277" s="29"/>
      <c r="E2277" s="29"/>
      <c r="F2277" s="53" t="s">
        <v>378</v>
      </c>
      <c r="G2277" s="125">
        <v>610</v>
      </c>
      <c r="H2277" s="29" t="s">
        <v>338</v>
      </c>
      <c r="I2277" s="15">
        <v>0</v>
      </c>
      <c r="J2277" s="15">
        <v>1100</v>
      </c>
      <c r="K2277" s="15">
        <v>1100</v>
      </c>
      <c r="L2277" s="15">
        <v>1089</v>
      </c>
      <c r="M2277" s="15">
        <v>1098</v>
      </c>
      <c r="N2277" s="15"/>
      <c r="O2277" s="15"/>
      <c r="P2277" s="15"/>
      <c r="Q2277" s="15"/>
      <c r="R2277" s="15"/>
      <c r="T2277" s="15">
        <f t="shared" si="613"/>
        <v>0</v>
      </c>
    </row>
    <row r="2278" spans="2:20" x14ac:dyDescent="0.25">
      <c r="B2278" s="97">
        <f t="shared" si="622"/>
        <v>106</v>
      </c>
      <c r="C2278" s="29"/>
      <c r="D2278" s="29"/>
      <c r="E2278" s="29"/>
      <c r="F2278" s="53" t="s">
        <v>378</v>
      </c>
      <c r="G2278" s="125">
        <v>620</v>
      </c>
      <c r="H2278" s="29" t="s">
        <v>313</v>
      </c>
      <c r="I2278" s="15">
        <v>0</v>
      </c>
      <c r="J2278" s="15">
        <v>400</v>
      </c>
      <c r="K2278" s="15">
        <v>400</v>
      </c>
      <c r="L2278" s="15">
        <v>389</v>
      </c>
      <c r="M2278" s="15">
        <v>385</v>
      </c>
      <c r="N2278" s="15"/>
      <c r="O2278" s="15"/>
      <c r="P2278" s="15"/>
      <c r="Q2278" s="15"/>
      <c r="R2278" s="15"/>
      <c r="T2278" s="15">
        <f t="shared" si="613"/>
        <v>0</v>
      </c>
    </row>
    <row r="2279" spans="2:20" x14ac:dyDescent="0.25">
      <c r="B2279" s="97">
        <f t="shared" si="622"/>
        <v>107</v>
      </c>
      <c r="C2279" s="29"/>
      <c r="D2279" s="29"/>
      <c r="E2279" s="29"/>
      <c r="F2279" s="53" t="s">
        <v>378</v>
      </c>
      <c r="G2279" s="125">
        <v>630</v>
      </c>
      <c r="H2279" s="29" t="s">
        <v>303</v>
      </c>
      <c r="I2279" s="15">
        <f>SUM(I2280:I2283)</f>
        <v>7350</v>
      </c>
      <c r="J2279" s="15">
        <f t="shared" ref="J2279:M2279" si="632">SUM(J2280:J2283)</f>
        <v>8150</v>
      </c>
      <c r="K2279" s="15">
        <f t="shared" si="632"/>
        <v>7150</v>
      </c>
      <c r="L2279" s="15">
        <f t="shared" si="632"/>
        <v>4042</v>
      </c>
      <c r="M2279" s="15">
        <f t="shared" si="632"/>
        <v>4879</v>
      </c>
      <c r="N2279" s="15"/>
      <c r="O2279" s="15"/>
      <c r="P2279" s="15"/>
      <c r="Q2279" s="15"/>
      <c r="R2279" s="15"/>
      <c r="T2279" s="15">
        <f t="shared" si="613"/>
        <v>7350</v>
      </c>
    </row>
    <row r="2280" spans="2:20" x14ac:dyDescent="0.25">
      <c r="B2280" s="97">
        <f t="shared" si="622"/>
        <v>108</v>
      </c>
      <c r="C2280" s="9"/>
      <c r="D2280" s="9"/>
      <c r="E2280" s="9"/>
      <c r="F2280" s="54" t="s">
        <v>378</v>
      </c>
      <c r="G2280" s="126">
        <v>632</v>
      </c>
      <c r="H2280" s="9" t="s">
        <v>314</v>
      </c>
      <c r="I2280" s="10">
        <v>5000</v>
      </c>
      <c r="J2280" s="10">
        <v>5000</v>
      </c>
      <c r="K2280" s="10">
        <v>5000</v>
      </c>
      <c r="L2280" s="10">
        <v>3558</v>
      </c>
      <c r="M2280" s="10">
        <v>3435</v>
      </c>
      <c r="N2280" s="10"/>
      <c r="O2280" s="10"/>
      <c r="P2280" s="10"/>
      <c r="Q2280" s="10"/>
      <c r="R2280" s="10"/>
      <c r="T2280" s="10">
        <f t="shared" si="613"/>
        <v>5000</v>
      </c>
    </row>
    <row r="2281" spans="2:20" x14ac:dyDescent="0.25">
      <c r="B2281" s="97">
        <f t="shared" si="622"/>
        <v>109</v>
      </c>
      <c r="C2281" s="9"/>
      <c r="D2281" s="9"/>
      <c r="E2281" s="9"/>
      <c r="F2281" s="54" t="s">
        <v>378</v>
      </c>
      <c r="G2281" s="126">
        <v>633</v>
      </c>
      <c r="H2281" s="9" t="s">
        <v>305</v>
      </c>
      <c r="I2281" s="10">
        <v>1500</v>
      </c>
      <c r="J2281" s="10">
        <v>1250</v>
      </c>
      <c r="K2281" s="10">
        <v>250</v>
      </c>
      <c r="L2281" s="10">
        <v>130</v>
      </c>
      <c r="M2281" s="10">
        <v>608</v>
      </c>
      <c r="N2281" s="10"/>
      <c r="O2281" s="10"/>
      <c r="P2281" s="10"/>
      <c r="Q2281" s="10"/>
      <c r="R2281" s="10"/>
      <c r="T2281" s="10">
        <f t="shared" si="613"/>
        <v>1500</v>
      </c>
    </row>
    <row r="2282" spans="2:20" x14ac:dyDescent="0.25">
      <c r="B2282" s="97">
        <f t="shared" si="622"/>
        <v>110</v>
      </c>
      <c r="C2282" s="9"/>
      <c r="D2282" s="9"/>
      <c r="E2282" s="9"/>
      <c r="F2282" s="54" t="s">
        <v>378</v>
      </c>
      <c r="G2282" s="126">
        <v>635</v>
      </c>
      <c r="H2282" s="9" t="s">
        <v>320</v>
      </c>
      <c r="I2282" s="10">
        <v>400</v>
      </c>
      <c r="J2282" s="10">
        <v>0</v>
      </c>
      <c r="K2282" s="10"/>
      <c r="L2282" s="10"/>
      <c r="M2282" s="10">
        <v>0</v>
      </c>
      <c r="N2282" s="10"/>
      <c r="O2282" s="10"/>
      <c r="P2282" s="10"/>
      <c r="Q2282" s="10"/>
      <c r="R2282" s="10"/>
      <c r="T2282" s="10">
        <f t="shared" si="613"/>
        <v>400</v>
      </c>
    </row>
    <row r="2283" spans="2:20" x14ac:dyDescent="0.25">
      <c r="B2283" s="97">
        <f t="shared" si="622"/>
        <v>111</v>
      </c>
      <c r="C2283" s="9"/>
      <c r="D2283" s="9"/>
      <c r="E2283" s="9"/>
      <c r="F2283" s="54" t="s">
        <v>378</v>
      </c>
      <c r="G2283" s="126">
        <v>637</v>
      </c>
      <c r="H2283" s="9" t="s">
        <v>308</v>
      </c>
      <c r="I2283" s="10">
        <v>450</v>
      </c>
      <c r="J2283" s="10">
        <v>1900</v>
      </c>
      <c r="K2283" s="10">
        <v>1900</v>
      </c>
      <c r="L2283" s="10">
        <v>354</v>
      </c>
      <c r="M2283" s="10">
        <v>836</v>
      </c>
      <c r="N2283" s="10"/>
      <c r="O2283" s="10"/>
      <c r="P2283" s="10"/>
      <c r="Q2283" s="10"/>
      <c r="R2283" s="10"/>
      <c r="T2283" s="10">
        <f t="shared" si="613"/>
        <v>450</v>
      </c>
    </row>
    <row r="2284" spans="2:20" x14ac:dyDescent="0.25">
      <c r="B2284" s="97">
        <f t="shared" si="622"/>
        <v>112</v>
      </c>
      <c r="C2284" s="29"/>
      <c r="D2284" s="29"/>
      <c r="E2284" s="29"/>
      <c r="F2284" s="53" t="s">
        <v>378</v>
      </c>
      <c r="G2284" s="125">
        <v>710</v>
      </c>
      <c r="H2284" s="29" t="s">
        <v>321</v>
      </c>
      <c r="I2284" s="15"/>
      <c r="J2284" s="15"/>
      <c r="K2284" s="15"/>
      <c r="L2284" s="15"/>
      <c r="M2284" s="15"/>
      <c r="N2284" s="15"/>
      <c r="O2284" s="15"/>
      <c r="P2284" s="15">
        <f t="shared" ref="P2284" si="633">P2285</f>
        <v>16000</v>
      </c>
      <c r="Q2284" s="15"/>
      <c r="R2284" s="15"/>
      <c r="T2284" s="15">
        <f t="shared" si="613"/>
        <v>0</v>
      </c>
    </row>
    <row r="2285" spans="2:20" x14ac:dyDescent="0.25">
      <c r="B2285" s="97">
        <f t="shared" si="622"/>
        <v>113</v>
      </c>
      <c r="C2285" s="9"/>
      <c r="D2285" s="9"/>
      <c r="E2285" s="9"/>
      <c r="F2285" s="54" t="s">
        <v>378</v>
      </c>
      <c r="G2285" s="126">
        <v>713</v>
      </c>
      <c r="H2285" s="9" t="s">
        <v>360</v>
      </c>
      <c r="I2285" s="10"/>
      <c r="J2285" s="10"/>
      <c r="K2285" s="10"/>
      <c r="L2285" s="10"/>
      <c r="M2285" s="10"/>
      <c r="N2285" s="10"/>
      <c r="O2285" s="10"/>
      <c r="P2285" s="10">
        <v>16000</v>
      </c>
      <c r="Q2285" s="10"/>
      <c r="R2285" s="10"/>
      <c r="T2285" s="10">
        <f t="shared" si="613"/>
        <v>0</v>
      </c>
    </row>
    <row r="2286" spans="2:20" ht="15.75" x14ac:dyDescent="0.25">
      <c r="B2286" s="97">
        <f t="shared" si="622"/>
        <v>114</v>
      </c>
      <c r="C2286" s="45">
        <v>6</v>
      </c>
      <c r="D2286" s="293" t="s">
        <v>81</v>
      </c>
      <c r="E2286" s="294"/>
      <c r="F2286" s="294"/>
      <c r="G2286" s="294"/>
      <c r="H2286" s="295"/>
      <c r="I2286" s="46">
        <f>I2292</f>
        <v>272850</v>
      </c>
      <c r="J2286" s="46">
        <f t="shared" ref="J2286:M2286" si="634">J2287</f>
        <v>188070</v>
      </c>
      <c r="K2286" s="46">
        <f t="shared" si="634"/>
        <v>180670</v>
      </c>
      <c r="L2286" s="46">
        <f t="shared" si="634"/>
        <v>170189</v>
      </c>
      <c r="M2286" s="46">
        <f t="shared" si="634"/>
        <v>174301</v>
      </c>
      <c r="N2286" s="46">
        <f>N2290</f>
        <v>0</v>
      </c>
      <c r="O2286" s="46">
        <f t="shared" ref="O2286:R2286" si="635">O2290</f>
        <v>0</v>
      </c>
      <c r="P2286" s="46">
        <f t="shared" si="635"/>
        <v>0</v>
      </c>
      <c r="Q2286" s="46">
        <f t="shared" si="635"/>
        <v>0</v>
      </c>
      <c r="R2286" s="46">
        <f t="shared" si="635"/>
        <v>171667</v>
      </c>
      <c r="T2286" s="46">
        <f t="shared" si="613"/>
        <v>272850</v>
      </c>
    </row>
    <row r="2287" spans="2:20" hidden="1" x14ac:dyDescent="0.25">
      <c r="B2287" s="97">
        <f t="shared" si="622"/>
        <v>115</v>
      </c>
      <c r="C2287" s="47"/>
      <c r="D2287" s="47" t="s">
        <v>60</v>
      </c>
      <c r="E2287" s="296"/>
      <c r="F2287" s="294"/>
      <c r="G2287" s="294"/>
      <c r="H2287" s="295"/>
      <c r="I2287" s="48" t="e">
        <f>#REF!+#REF!</f>
        <v>#REF!</v>
      </c>
      <c r="J2287" s="48">
        <f>J2292+J2288</f>
        <v>188070</v>
      </c>
      <c r="K2287" s="48">
        <f>K2292+K2288</f>
        <v>180670</v>
      </c>
      <c r="L2287" s="48">
        <f>L2292+L2288</f>
        <v>170189</v>
      </c>
      <c r="M2287" s="48">
        <f>M2292+M2288</f>
        <v>174301</v>
      </c>
      <c r="N2287" s="48" t="e">
        <f>#REF!+#REF!</f>
        <v>#REF!</v>
      </c>
      <c r="O2287" s="48" t="e">
        <f>N2287+#REF!</f>
        <v>#REF!</v>
      </c>
      <c r="P2287" s="48" t="e">
        <f>O2287+N2287</f>
        <v>#REF!</v>
      </c>
      <c r="Q2287" s="48" t="e">
        <f>#REF!+P2287</f>
        <v>#REF!</v>
      </c>
      <c r="R2287" s="48" t="e">
        <f>Q2287+#REF!</f>
        <v>#REF!</v>
      </c>
      <c r="T2287" s="48" t="e">
        <f t="shared" si="613"/>
        <v>#REF!</v>
      </c>
    </row>
    <row r="2288" spans="2:20" hidden="1" x14ac:dyDescent="0.25">
      <c r="B2288" s="97">
        <f t="shared" si="622"/>
        <v>116</v>
      </c>
      <c r="C2288" s="49"/>
      <c r="D2288" s="49"/>
      <c r="E2288" s="49"/>
      <c r="F2288" s="49"/>
      <c r="G2288" s="123"/>
      <c r="H2288" s="49" t="s">
        <v>12</v>
      </c>
      <c r="I2288" s="50" t="e">
        <f>#REF!+#REF!</f>
        <v>#REF!</v>
      </c>
      <c r="J2288" s="50">
        <f t="shared" ref="J2288:M2289" si="636">J2289</f>
        <v>0</v>
      </c>
      <c r="K2288" s="50">
        <f t="shared" si="636"/>
        <v>0</v>
      </c>
      <c r="L2288" s="50">
        <f t="shared" si="636"/>
        <v>0</v>
      </c>
      <c r="M2288" s="50">
        <f t="shared" si="636"/>
        <v>0</v>
      </c>
      <c r="N2288" s="50" t="e">
        <f>#REF!+#REF!</f>
        <v>#REF!</v>
      </c>
      <c r="O2288" s="50" t="e">
        <f>N2288+#REF!</f>
        <v>#REF!</v>
      </c>
      <c r="P2288" s="50" t="e">
        <f>O2288+N2288</f>
        <v>#REF!</v>
      </c>
      <c r="Q2288" s="50" t="e">
        <f>#REF!+P2288</f>
        <v>#REF!</v>
      </c>
      <c r="R2288" s="50" t="e">
        <f>Q2288+#REF!</f>
        <v>#REF!</v>
      </c>
      <c r="T2288" s="50" t="e">
        <f t="shared" si="613"/>
        <v>#REF!</v>
      </c>
    </row>
    <row r="2289" spans="2:20" hidden="1" x14ac:dyDescent="0.25">
      <c r="B2289" s="97">
        <f t="shared" si="622"/>
        <v>117</v>
      </c>
      <c r="C2289" s="51"/>
      <c r="D2289" s="51"/>
      <c r="E2289" s="51" t="s">
        <v>60</v>
      </c>
      <c r="F2289" s="51"/>
      <c r="G2289" s="124"/>
      <c r="H2289" s="51"/>
      <c r="I2289" s="52" t="e">
        <f>#REF!+#REF!</f>
        <v>#REF!</v>
      </c>
      <c r="J2289" s="52">
        <f t="shared" si="636"/>
        <v>0</v>
      </c>
      <c r="K2289" s="52">
        <f t="shared" si="636"/>
        <v>0</v>
      </c>
      <c r="L2289" s="52">
        <f t="shared" si="636"/>
        <v>0</v>
      </c>
      <c r="M2289" s="52">
        <f t="shared" si="636"/>
        <v>0</v>
      </c>
      <c r="N2289" s="52" t="e">
        <f>#REF!+#REF!</f>
        <v>#REF!</v>
      </c>
      <c r="O2289" s="52" t="e">
        <f>N2289+#REF!</f>
        <v>#REF!</v>
      </c>
      <c r="P2289" s="52" t="e">
        <f>O2289+N2289</f>
        <v>#REF!</v>
      </c>
      <c r="Q2289" s="52" t="e">
        <f>#REF!+P2289</f>
        <v>#REF!</v>
      </c>
      <c r="R2289" s="52" t="e">
        <f>Q2289+#REF!</f>
        <v>#REF!</v>
      </c>
      <c r="T2289" s="52" t="e">
        <f t="shared" si="613"/>
        <v>#REF!</v>
      </c>
    </row>
    <row r="2290" spans="2:20" x14ac:dyDescent="0.25">
      <c r="B2290" s="97">
        <f t="shared" si="622"/>
        <v>118</v>
      </c>
      <c r="C2290" s="29"/>
      <c r="D2290" s="29"/>
      <c r="E2290" s="29"/>
      <c r="F2290" s="53" t="s">
        <v>378</v>
      </c>
      <c r="G2290" s="125">
        <v>710</v>
      </c>
      <c r="H2290" s="29" t="s">
        <v>321</v>
      </c>
      <c r="I2290" s="15"/>
      <c r="J2290" s="15"/>
      <c r="K2290" s="15"/>
      <c r="L2290" s="15"/>
      <c r="M2290" s="15"/>
      <c r="N2290" s="15"/>
      <c r="O2290" s="15"/>
      <c r="P2290" s="15"/>
      <c r="Q2290" s="15"/>
      <c r="R2290" s="15">
        <f t="shared" ref="R2290" si="637">R2291</f>
        <v>171667</v>
      </c>
      <c r="T2290" s="15">
        <f t="shared" si="613"/>
        <v>0</v>
      </c>
    </row>
    <row r="2291" spans="2:20" x14ac:dyDescent="0.25">
      <c r="B2291" s="97">
        <f t="shared" si="622"/>
        <v>119</v>
      </c>
      <c r="C2291" s="9"/>
      <c r="D2291" s="9"/>
      <c r="E2291" s="9"/>
      <c r="F2291" s="54" t="s">
        <v>378</v>
      </c>
      <c r="G2291" s="126">
        <v>717</v>
      </c>
      <c r="H2291" s="9" t="s">
        <v>327</v>
      </c>
      <c r="I2291" s="10"/>
      <c r="J2291" s="10"/>
      <c r="K2291" s="10"/>
      <c r="L2291" s="10"/>
      <c r="M2291" s="10"/>
      <c r="N2291" s="10"/>
      <c r="O2291" s="10"/>
      <c r="P2291" s="10"/>
      <c r="Q2291" s="10"/>
      <c r="R2291" s="10">
        <v>171667</v>
      </c>
      <c r="T2291" s="10">
        <f t="shared" si="613"/>
        <v>0</v>
      </c>
    </row>
    <row r="2292" spans="2:20" x14ac:dyDescent="0.25">
      <c r="B2292" s="97">
        <f t="shared" si="622"/>
        <v>120</v>
      </c>
      <c r="C2292" s="49"/>
      <c r="D2292" s="49"/>
      <c r="E2292" s="49">
        <v>2</v>
      </c>
      <c r="F2292" s="49"/>
      <c r="G2292" s="123"/>
      <c r="H2292" s="49" t="s">
        <v>59</v>
      </c>
      <c r="I2292" s="50">
        <f t="shared" ref="I2292:M2292" si="638">I2294+I2295+I2296+I2303</f>
        <v>272850</v>
      </c>
      <c r="J2292" s="50">
        <f t="shared" si="638"/>
        <v>188070</v>
      </c>
      <c r="K2292" s="50">
        <f t="shared" si="638"/>
        <v>180670</v>
      </c>
      <c r="L2292" s="50">
        <f t="shared" si="638"/>
        <v>170189</v>
      </c>
      <c r="M2292" s="50">
        <f t="shared" si="638"/>
        <v>174301</v>
      </c>
      <c r="N2292" s="50"/>
      <c r="O2292" s="50"/>
      <c r="P2292" s="50"/>
      <c r="Q2292" s="50"/>
      <c r="R2292" s="50"/>
      <c r="T2292" s="50">
        <f t="shared" si="613"/>
        <v>272850</v>
      </c>
    </row>
    <row r="2293" spans="2:20" hidden="1" x14ac:dyDescent="0.25">
      <c r="B2293" s="97">
        <f t="shared" si="622"/>
        <v>121</v>
      </c>
      <c r="C2293" s="51"/>
      <c r="D2293" s="51"/>
      <c r="E2293" s="51" t="s">
        <v>60</v>
      </c>
      <c r="F2293" s="51"/>
      <c r="G2293" s="124"/>
      <c r="H2293" s="51" t="s">
        <v>81</v>
      </c>
      <c r="I2293" s="52" t="e">
        <f>#REF!+#REF!</f>
        <v>#REF!</v>
      </c>
      <c r="J2293" s="52" t="e">
        <f>#REF!+J2303+J2296+J2295+J2294</f>
        <v>#REF!</v>
      </c>
      <c r="K2293" s="52" t="e">
        <f>#REF!+K2303+K2296+K2295+K2294</f>
        <v>#REF!</v>
      </c>
      <c r="L2293" s="52" t="e">
        <f>#REF!+L2303+L2296+L2295+L2294</f>
        <v>#REF!</v>
      </c>
      <c r="M2293" s="52" t="e">
        <f>#REF!+M2303+M2296+M2295+M2294</f>
        <v>#REF!</v>
      </c>
      <c r="N2293" s="52" t="e">
        <f>#REF!+#REF!</f>
        <v>#REF!</v>
      </c>
      <c r="O2293" s="52" t="e">
        <f>#REF!+O2303+O2296+O2295+O2294</f>
        <v>#REF!</v>
      </c>
      <c r="P2293" s="52" t="e">
        <f>#REF!+P2303+P2296+P2295+P2294</f>
        <v>#REF!</v>
      </c>
      <c r="Q2293" s="52" t="e">
        <f>#REF!+Q2303+Q2296+Q2295+Q2294</f>
        <v>#REF!</v>
      </c>
      <c r="R2293" s="52" t="e">
        <f>#REF!+R2303+R2296+R2295+R2294</f>
        <v>#REF!</v>
      </c>
      <c r="T2293" s="52" t="e">
        <f t="shared" si="613"/>
        <v>#REF!</v>
      </c>
    </row>
    <row r="2294" spans="2:20" x14ac:dyDescent="0.25">
      <c r="B2294" s="97">
        <f t="shared" si="622"/>
        <v>122</v>
      </c>
      <c r="C2294" s="29"/>
      <c r="D2294" s="29"/>
      <c r="E2294" s="29"/>
      <c r="F2294" s="53" t="s">
        <v>378</v>
      </c>
      <c r="G2294" s="125">
        <v>610</v>
      </c>
      <c r="H2294" s="29" t="s">
        <v>338</v>
      </c>
      <c r="I2294" s="15">
        <f>78200+75000</f>
        <v>153200</v>
      </c>
      <c r="J2294" s="15">
        <v>85900</v>
      </c>
      <c r="K2294" s="15">
        <v>80500</v>
      </c>
      <c r="L2294" s="15">
        <v>84791</v>
      </c>
      <c r="M2294" s="15">
        <v>84701</v>
      </c>
      <c r="N2294" s="15"/>
      <c r="O2294" s="15"/>
      <c r="P2294" s="15"/>
      <c r="Q2294" s="15"/>
      <c r="R2294" s="15"/>
      <c r="T2294" s="15">
        <f t="shared" si="613"/>
        <v>153200</v>
      </c>
    </row>
    <row r="2295" spans="2:20" x14ac:dyDescent="0.25">
      <c r="B2295" s="97">
        <f t="shared" si="622"/>
        <v>123</v>
      </c>
      <c r="C2295" s="29"/>
      <c r="D2295" s="29"/>
      <c r="E2295" s="29"/>
      <c r="F2295" s="53" t="s">
        <v>378</v>
      </c>
      <c r="G2295" s="125">
        <v>620</v>
      </c>
      <c r="H2295" s="29" t="s">
        <v>313</v>
      </c>
      <c r="I2295" s="15">
        <f>33700+25000</f>
        <v>58700</v>
      </c>
      <c r="J2295" s="15">
        <v>37430</v>
      </c>
      <c r="K2295" s="15">
        <v>35430</v>
      </c>
      <c r="L2295" s="15">
        <v>36559</v>
      </c>
      <c r="M2295" s="15">
        <v>36488</v>
      </c>
      <c r="N2295" s="15"/>
      <c r="O2295" s="15"/>
      <c r="P2295" s="15"/>
      <c r="Q2295" s="15"/>
      <c r="R2295" s="15"/>
      <c r="T2295" s="15">
        <f t="shared" si="613"/>
        <v>58700</v>
      </c>
    </row>
    <row r="2296" spans="2:20" x14ac:dyDescent="0.25">
      <c r="B2296" s="97">
        <f t="shared" si="622"/>
        <v>124</v>
      </c>
      <c r="C2296" s="29"/>
      <c r="D2296" s="29"/>
      <c r="E2296" s="29"/>
      <c r="F2296" s="53" t="s">
        <v>378</v>
      </c>
      <c r="G2296" s="125">
        <v>630</v>
      </c>
      <c r="H2296" s="29" t="s">
        <v>303</v>
      </c>
      <c r="I2296" s="15">
        <f>SUM(I2297:I2302)</f>
        <v>59450</v>
      </c>
      <c r="J2296" s="15">
        <f>SUM(J2297:J2302)</f>
        <v>62590</v>
      </c>
      <c r="K2296" s="15">
        <f t="shared" ref="K2296:M2296" si="639">SUM(K2297:K2302)</f>
        <v>62140</v>
      </c>
      <c r="L2296" s="15">
        <f t="shared" si="639"/>
        <v>46318</v>
      </c>
      <c r="M2296" s="15">
        <f t="shared" si="639"/>
        <v>51965</v>
      </c>
      <c r="N2296" s="15"/>
      <c r="O2296" s="15"/>
      <c r="P2296" s="15"/>
      <c r="Q2296" s="15"/>
      <c r="R2296" s="15"/>
      <c r="T2296" s="15">
        <f t="shared" si="613"/>
        <v>59450</v>
      </c>
    </row>
    <row r="2297" spans="2:20" x14ac:dyDescent="0.25">
      <c r="B2297" s="97">
        <f t="shared" si="622"/>
        <v>125</v>
      </c>
      <c r="C2297" s="9"/>
      <c r="D2297" s="9"/>
      <c r="E2297" s="9"/>
      <c r="F2297" s="54" t="s">
        <v>378</v>
      </c>
      <c r="G2297" s="126">
        <v>631</v>
      </c>
      <c r="H2297" s="9" t="s">
        <v>304</v>
      </c>
      <c r="I2297" s="10">
        <v>100</v>
      </c>
      <c r="J2297" s="10">
        <v>100</v>
      </c>
      <c r="K2297" s="10">
        <v>100</v>
      </c>
      <c r="L2297" s="10">
        <v>4</v>
      </c>
      <c r="M2297" s="10">
        <v>0</v>
      </c>
      <c r="N2297" s="10"/>
      <c r="O2297" s="10"/>
      <c r="P2297" s="10"/>
      <c r="Q2297" s="10"/>
      <c r="R2297" s="10"/>
      <c r="T2297" s="10">
        <f t="shared" si="613"/>
        <v>100</v>
      </c>
    </row>
    <row r="2298" spans="2:20" x14ac:dyDescent="0.25">
      <c r="B2298" s="97">
        <f t="shared" si="622"/>
        <v>126</v>
      </c>
      <c r="C2298" s="9"/>
      <c r="D2298" s="9"/>
      <c r="E2298" s="9"/>
      <c r="F2298" s="54" t="s">
        <v>378</v>
      </c>
      <c r="G2298" s="126">
        <v>632</v>
      </c>
      <c r="H2298" s="9" t="s">
        <v>314</v>
      </c>
      <c r="I2298" s="10">
        <v>3700</v>
      </c>
      <c r="J2298" s="10">
        <v>3200</v>
      </c>
      <c r="K2298" s="10">
        <v>3200</v>
      </c>
      <c r="L2298" s="10">
        <v>3456</v>
      </c>
      <c r="M2298" s="10">
        <v>3390</v>
      </c>
      <c r="N2298" s="10"/>
      <c r="O2298" s="10"/>
      <c r="P2298" s="10"/>
      <c r="Q2298" s="10"/>
      <c r="R2298" s="10"/>
      <c r="T2298" s="10">
        <f t="shared" si="613"/>
        <v>3700</v>
      </c>
    </row>
    <row r="2299" spans="2:20" x14ac:dyDescent="0.25">
      <c r="B2299" s="97">
        <f t="shared" si="622"/>
        <v>127</v>
      </c>
      <c r="C2299" s="9"/>
      <c r="D2299" s="9"/>
      <c r="E2299" s="9"/>
      <c r="F2299" s="54" t="s">
        <v>378</v>
      </c>
      <c r="G2299" s="126">
        <v>633</v>
      </c>
      <c r="H2299" s="9" t="s">
        <v>305</v>
      </c>
      <c r="I2299" s="10">
        <v>4000</v>
      </c>
      <c r="J2299" s="10">
        <v>3450</v>
      </c>
      <c r="K2299" s="10">
        <v>3400</v>
      </c>
      <c r="L2299" s="10">
        <v>2458</v>
      </c>
      <c r="M2299" s="10">
        <v>3086</v>
      </c>
      <c r="N2299" s="10"/>
      <c r="O2299" s="10"/>
      <c r="P2299" s="10"/>
      <c r="Q2299" s="10"/>
      <c r="R2299" s="10"/>
      <c r="T2299" s="10">
        <f t="shared" si="613"/>
        <v>4000</v>
      </c>
    </row>
    <row r="2300" spans="2:20" x14ac:dyDescent="0.25">
      <c r="B2300" s="97">
        <f t="shared" si="622"/>
        <v>128</v>
      </c>
      <c r="C2300" s="9"/>
      <c r="D2300" s="9"/>
      <c r="E2300" s="9"/>
      <c r="F2300" s="54" t="s">
        <v>378</v>
      </c>
      <c r="G2300" s="126">
        <v>634</v>
      </c>
      <c r="H2300" s="9" t="s">
        <v>306</v>
      </c>
      <c r="I2300" s="10">
        <v>11500</v>
      </c>
      <c r="J2300" s="10">
        <v>11500</v>
      </c>
      <c r="K2300" s="10">
        <v>11500</v>
      </c>
      <c r="L2300" s="10">
        <v>9285</v>
      </c>
      <c r="M2300" s="10">
        <v>9344</v>
      </c>
      <c r="N2300" s="10"/>
      <c r="O2300" s="10"/>
      <c r="P2300" s="10"/>
      <c r="Q2300" s="10"/>
      <c r="R2300" s="10"/>
      <c r="T2300" s="10">
        <f t="shared" si="613"/>
        <v>11500</v>
      </c>
    </row>
    <row r="2301" spans="2:20" x14ac:dyDescent="0.25">
      <c r="B2301" s="97">
        <f t="shared" si="622"/>
        <v>129</v>
      </c>
      <c r="C2301" s="9"/>
      <c r="D2301" s="9"/>
      <c r="E2301" s="9"/>
      <c r="F2301" s="54" t="s">
        <v>378</v>
      </c>
      <c r="G2301" s="126">
        <v>635</v>
      </c>
      <c r="H2301" s="9" t="s">
        <v>320</v>
      </c>
      <c r="I2301" s="10">
        <v>200</v>
      </c>
      <c r="J2301" s="10">
        <v>4100</v>
      </c>
      <c r="K2301" s="10">
        <v>3700</v>
      </c>
      <c r="L2301" s="10">
        <v>2853</v>
      </c>
      <c r="M2301" s="10">
        <v>3844</v>
      </c>
      <c r="N2301" s="10"/>
      <c r="O2301" s="10"/>
      <c r="P2301" s="10"/>
      <c r="Q2301" s="10"/>
      <c r="R2301" s="10"/>
      <c r="T2301" s="10">
        <f t="shared" si="613"/>
        <v>200</v>
      </c>
    </row>
    <row r="2302" spans="2:20" x14ac:dyDescent="0.25">
      <c r="B2302" s="97">
        <f t="shared" si="622"/>
        <v>130</v>
      </c>
      <c r="C2302" s="9"/>
      <c r="D2302" s="9"/>
      <c r="E2302" s="9"/>
      <c r="F2302" s="54" t="s">
        <v>378</v>
      </c>
      <c r="G2302" s="126">
        <v>637</v>
      </c>
      <c r="H2302" s="9" t="s">
        <v>308</v>
      </c>
      <c r="I2302" s="10">
        <v>39950</v>
      </c>
      <c r="J2302" s="10">
        <v>40240</v>
      </c>
      <c r="K2302" s="10">
        <v>40240</v>
      </c>
      <c r="L2302" s="10">
        <v>28262</v>
      </c>
      <c r="M2302" s="10">
        <v>32301</v>
      </c>
      <c r="N2302" s="10"/>
      <c r="O2302" s="10"/>
      <c r="P2302" s="10"/>
      <c r="Q2302" s="10"/>
      <c r="R2302" s="10"/>
      <c r="T2302" s="10">
        <f t="shared" ref="T2302:T2303" si="640">I2302+N2302</f>
        <v>39950</v>
      </c>
    </row>
    <row r="2303" spans="2:20" x14ac:dyDescent="0.25">
      <c r="B2303" s="97">
        <f t="shared" si="622"/>
        <v>131</v>
      </c>
      <c r="C2303" s="29"/>
      <c r="D2303" s="29"/>
      <c r="E2303" s="29"/>
      <c r="F2303" s="53" t="s">
        <v>378</v>
      </c>
      <c r="G2303" s="125">
        <v>640</v>
      </c>
      <c r="H2303" s="29" t="s">
        <v>315</v>
      </c>
      <c r="I2303" s="15">
        <v>1500</v>
      </c>
      <c r="J2303" s="15">
        <v>2150</v>
      </c>
      <c r="K2303" s="15">
        <v>2600</v>
      </c>
      <c r="L2303" s="15">
        <v>2521</v>
      </c>
      <c r="M2303" s="15">
        <v>1147</v>
      </c>
      <c r="N2303" s="15"/>
      <c r="O2303" s="15"/>
      <c r="P2303" s="15"/>
      <c r="Q2303" s="15"/>
      <c r="R2303" s="15"/>
      <c r="T2303" s="15">
        <f t="shared" si="640"/>
        <v>1500</v>
      </c>
    </row>
    <row r="2356" spans="2:20" ht="27" x14ac:dyDescent="0.35">
      <c r="B2356" s="310" t="s">
        <v>631</v>
      </c>
      <c r="C2356" s="311"/>
      <c r="D2356" s="311"/>
      <c r="E2356" s="311"/>
      <c r="F2356" s="311"/>
      <c r="G2356" s="311"/>
      <c r="H2356" s="311"/>
      <c r="I2356" s="311"/>
      <c r="J2356" s="311"/>
      <c r="K2356" s="311"/>
      <c r="L2356" s="311"/>
      <c r="M2356" s="311"/>
      <c r="N2356" s="311"/>
      <c r="O2356" s="311"/>
      <c r="P2356" s="311"/>
      <c r="Q2356" s="311"/>
      <c r="R2356" s="311"/>
    </row>
    <row r="2357" spans="2:20" ht="15.75" customHeight="1" x14ac:dyDescent="0.25">
      <c r="B2357" s="279" t="s">
        <v>286</v>
      </c>
      <c r="C2357" s="280"/>
      <c r="D2357" s="280"/>
      <c r="E2357" s="280"/>
      <c r="F2357" s="280"/>
      <c r="G2357" s="280"/>
      <c r="H2357" s="280"/>
      <c r="I2357" s="280"/>
      <c r="J2357" s="280"/>
      <c r="K2357" s="280"/>
      <c r="L2357" s="280"/>
      <c r="M2357" s="280"/>
      <c r="N2357" s="280"/>
      <c r="O2357" s="280"/>
      <c r="P2357" s="280"/>
      <c r="Q2357" s="280"/>
      <c r="R2357" s="281"/>
      <c r="T2357" s="314" t="s">
        <v>937</v>
      </c>
    </row>
    <row r="2358" spans="2:20" ht="12.75" customHeight="1" x14ac:dyDescent="0.25">
      <c r="B2358" s="282"/>
      <c r="C2358" s="285" t="s">
        <v>287</v>
      </c>
      <c r="D2358" s="285" t="s">
        <v>288</v>
      </c>
      <c r="E2358" s="285" t="s">
        <v>289</v>
      </c>
      <c r="F2358" s="285" t="s">
        <v>290</v>
      </c>
      <c r="G2358" s="303" t="s">
        <v>291</v>
      </c>
      <c r="H2358" s="305" t="s">
        <v>292</v>
      </c>
      <c r="I2358" s="308" t="s">
        <v>935</v>
      </c>
      <c r="J2358" s="299" t="s">
        <v>293</v>
      </c>
      <c r="K2358" s="299" t="s">
        <v>294</v>
      </c>
      <c r="L2358" s="288" t="s">
        <v>295</v>
      </c>
      <c r="M2358" s="288" t="s">
        <v>296</v>
      </c>
      <c r="N2358" s="301" t="s">
        <v>936</v>
      </c>
      <c r="O2358" s="297" t="s">
        <v>297</v>
      </c>
      <c r="P2358" s="299" t="s">
        <v>772</v>
      </c>
      <c r="Q2358" s="288" t="s">
        <v>298</v>
      </c>
      <c r="R2358" s="288" t="s">
        <v>299</v>
      </c>
      <c r="T2358" s="314"/>
    </row>
    <row r="2359" spans="2:20" x14ac:dyDescent="0.25">
      <c r="B2359" s="283"/>
      <c r="C2359" s="286"/>
      <c r="D2359" s="286"/>
      <c r="E2359" s="286"/>
      <c r="F2359" s="286"/>
      <c r="G2359" s="303"/>
      <c r="H2359" s="306"/>
      <c r="I2359" s="308"/>
      <c r="J2359" s="299"/>
      <c r="K2359" s="299"/>
      <c r="L2359" s="288"/>
      <c r="M2359" s="288"/>
      <c r="N2359" s="301"/>
      <c r="O2359" s="297"/>
      <c r="P2359" s="299"/>
      <c r="Q2359" s="288"/>
      <c r="R2359" s="288"/>
      <c r="T2359" s="314"/>
    </row>
    <row r="2360" spans="2:20" x14ac:dyDescent="0.25">
      <c r="B2360" s="283"/>
      <c r="C2360" s="286"/>
      <c r="D2360" s="286"/>
      <c r="E2360" s="286"/>
      <c r="F2360" s="286"/>
      <c r="G2360" s="303"/>
      <c r="H2360" s="306"/>
      <c r="I2360" s="308"/>
      <c r="J2360" s="299"/>
      <c r="K2360" s="299"/>
      <c r="L2360" s="288"/>
      <c r="M2360" s="288"/>
      <c r="N2360" s="301"/>
      <c r="O2360" s="297"/>
      <c r="P2360" s="299"/>
      <c r="Q2360" s="288"/>
      <c r="R2360" s="288"/>
      <c r="T2360" s="314"/>
    </row>
    <row r="2361" spans="2:20" ht="15.75" thickBot="1" x14ac:dyDescent="0.3">
      <c r="B2361" s="284"/>
      <c r="C2361" s="287"/>
      <c r="D2361" s="287"/>
      <c r="E2361" s="287"/>
      <c r="F2361" s="287"/>
      <c r="G2361" s="304"/>
      <c r="H2361" s="307"/>
      <c r="I2361" s="309"/>
      <c r="J2361" s="300"/>
      <c r="K2361" s="300"/>
      <c r="L2361" s="289"/>
      <c r="M2361" s="289"/>
      <c r="N2361" s="302"/>
      <c r="O2361" s="298"/>
      <c r="P2361" s="300"/>
      <c r="Q2361" s="289"/>
      <c r="R2361" s="289"/>
      <c r="T2361" s="314"/>
    </row>
    <row r="2362" spans="2:20" ht="16.5" thickTop="1" x14ac:dyDescent="0.25">
      <c r="B2362" s="98">
        <v>1</v>
      </c>
      <c r="C2362" s="290" t="s">
        <v>631</v>
      </c>
      <c r="D2362" s="291"/>
      <c r="E2362" s="291"/>
      <c r="F2362" s="291"/>
      <c r="G2362" s="291"/>
      <c r="H2362" s="292"/>
      <c r="I2362" s="44">
        <f>I2363+I2378+I2384+I2407+I2420+I2468+I2490+I2503+I2509+I2517+I2528</f>
        <v>2664450</v>
      </c>
      <c r="J2362" s="44">
        <f t="shared" ref="J2362:R2362" si="641">J2528+J2517+J2509+J2503+J2490+J2468+J2420+J2407+J2384+J2378+J2363</f>
        <v>2266300</v>
      </c>
      <c r="K2362" s="44">
        <f t="shared" si="641"/>
        <v>2542450</v>
      </c>
      <c r="L2362" s="44">
        <f t="shared" si="641"/>
        <v>2007312.5899999999</v>
      </c>
      <c r="M2362" s="44">
        <f t="shared" si="641"/>
        <v>2112862.9</v>
      </c>
      <c r="N2362" s="44">
        <f t="shared" si="641"/>
        <v>10000</v>
      </c>
      <c r="O2362" s="44">
        <f t="shared" si="641"/>
        <v>4000</v>
      </c>
      <c r="P2362" s="44">
        <f t="shared" si="641"/>
        <v>47000</v>
      </c>
      <c r="Q2362" s="44">
        <f t="shared" si="641"/>
        <v>0</v>
      </c>
      <c r="R2362" s="44">
        <f t="shared" si="641"/>
        <v>24534</v>
      </c>
      <c r="T2362" s="44">
        <f>I2362+N2362</f>
        <v>2674450</v>
      </c>
    </row>
    <row r="2363" spans="2:20" ht="15.75" x14ac:dyDescent="0.25">
      <c r="B2363" s="97">
        <f>B2362+1</f>
        <v>2</v>
      </c>
      <c r="C2363" s="45">
        <v>1</v>
      </c>
      <c r="D2363" s="293" t="s">
        <v>632</v>
      </c>
      <c r="E2363" s="294"/>
      <c r="F2363" s="294"/>
      <c r="G2363" s="294"/>
      <c r="H2363" s="295"/>
      <c r="I2363" s="46">
        <f>I2365</f>
        <v>197900</v>
      </c>
      <c r="J2363" s="46">
        <f t="shared" ref="J2363:M2365" si="642">J2364</f>
        <v>201200</v>
      </c>
      <c r="K2363" s="46">
        <f t="shared" si="642"/>
        <v>196400</v>
      </c>
      <c r="L2363" s="46">
        <f t="shared" si="642"/>
        <v>173167</v>
      </c>
      <c r="M2363" s="46">
        <f t="shared" si="642"/>
        <v>169628</v>
      </c>
      <c r="N2363" s="46">
        <f>N2365</f>
        <v>10000</v>
      </c>
      <c r="O2363" s="46">
        <f t="shared" ref="O2363:R2365" si="643">O2364</f>
        <v>0</v>
      </c>
      <c r="P2363" s="46">
        <f t="shared" si="643"/>
        <v>11300</v>
      </c>
      <c r="Q2363" s="46">
        <f t="shared" si="643"/>
        <v>0</v>
      </c>
      <c r="R2363" s="46">
        <f t="shared" si="643"/>
        <v>0</v>
      </c>
      <c r="T2363" s="46">
        <f t="shared" ref="T2363:T2426" si="644">I2363+N2363</f>
        <v>207900</v>
      </c>
    </row>
    <row r="2364" spans="2:20" hidden="1" x14ac:dyDescent="0.25">
      <c r="B2364" s="97">
        <f t="shared" ref="B2364:B2438" si="645">B2363+1</f>
        <v>3</v>
      </c>
      <c r="C2364" s="47"/>
      <c r="D2364" s="47" t="s">
        <v>60</v>
      </c>
      <c r="E2364" s="296"/>
      <c r="F2364" s="294"/>
      <c r="G2364" s="294"/>
      <c r="H2364" s="295"/>
      <c r="I2364" s="48" t="e">
        <f>#REF!+#REF!</f>
        <v>#REF!</v>
      </c>
      <c r="J2364" s="48">
        <f t="shared" si="642"/>
        <v>201200</v>
      </c>
      <c r="K2364" s="48">
        <f t="shared" si="642"/>
        <v>196400</v>
      </c>
      <c r="L2364" s="48">
        <f t="shared" si="642"/>
        <v>173167</v>
      </c>
      <c r="M2364" s="48">
        <f t="shared" si="642"/>
        <v>169628</v>
      </c>
      <c r="N2364" s="48"/>
      <c r="O2364" s="48">
        <f t="shared" si="643"/>
        <v>0</v>
      </c>
      <c r="P2364" s="48">
        <f t="shared" si="643"/>
        <v>11300</v>
      </c>
      <c r="Q2364" s="48">
        <f t="shared" si="643"/>
        <v>0</v>
      </c>
      <c r="R2364" s="48">
        <f t="shared" si="643"/>
        <v>0</v>
      </c>
      <c r="T2364" s="48" t="e">
        <f t="shared" si="644"/>
        <v>#REF!</v>
      </c>
    </row>
    <row r="2365" spans="2:20" x14ac:dyDescent="0.25">
      <c r="B2365" s="97">
        <f t="shared" si="645"/>
        <v>4</v>
      </c>
      <c r="C2365" s="49"/>
      <c r="D2365" s="49"/>
      <c r="E2365" s="49">
        <v>5</v>
      </c>
      <c r="F2365" s="49"/>
      <c r="G2365" s="123"/>
      <c r="H2365" s="49" t="s">
        <v>138</v>
      </c>
      <c r="I2365" s="50">
        <f>I2367+I2368+I2369+I2374</f>
        <v>197900</v>
      </c>
      <c r="J2365" s="50">
        <f t="shared" si="642"/>
        <v>201200</v>
      </c>
      <c r="K2365" s="50">
        <f t="shared" si="642"/>
        <v>196400</v>
      </c>
      <c r="L2365" s="50">
        <f t="shared" si="642"/>
        <v>173167</v>
      </c>
      <c r="M2365" s="50">
        <f t="shared" si="642"/>
        <v>169628</v>
      </c>
      <c r="N2365" s="50">
        <f>N2375</f>
        <v>10000</v>
      </c>
      <c r="O2365" s="50">
        <f t="shared" si="643"/>
        <v>0</v>
      </c>
      <c r="P2365" s="50">
        <f t="shared" si="643"/>
        <v>11300</v>
      </c>
      <c r="Q2365" s="50">
        <f t="shared" si="643"/>
        <v>0</v>
      </c>
      <c r="R2365" s="50">
        <f t="shared" si="643"/>
        <v>0</v>
      </c>
      <c r="T2365" s="50">
        <f t="shared" si="644"/>
        <v>207900</v>
      </c>
    </row>
    <row r="2366" spans="2:20" hidden="1" x14ac:dyDescent="0.25">
      <c r="B2366" s="97">
        <f t="shared" si="645"/>
        <v>5</v>
      </c>
      <c r="C2366" s="51"/>
      <c r="D2366" s="51"/>
      <c r="E2366" s="51" t="s">
        <v>60</v>
      </c>
      <c r="F2366" s="51"/>
      <c r="G2366" s="124"/>
      <c r="H2366" s="51"/>
      <c r="I2366" s="52" t="e">
        <f>#REF!+#REF!</f>
        <v>#REF!</v>
      </c>
      <c r="J2366" s="52">
        <f t="shared" ref="J2366:R2366" si="646">J2374+J2369+J2368+J2367</f>
        <v>201200</v>
      </c>
      <c r="K2366" s="52">
        <f t="shared" si="646"/>
        <v>196400</v>
      </c>
      <c r="L2366" s="52">
        <f t="shared" si="646"/>
        <v>173167</v>
      </c>
      <c r="M2366" s="52">
        <f t="shared" si="646"/>
        <v>169628</v>
      </c>
      <c r="N2366" s="52"/>
      <c r="O2366" s="52">
        <f t="shared" si="646"/>
        <v>0</v>
      </c>
      <c r="P2366" s="52">
        <f>P2374+P2369+P2368+P2367+P2375</f>
        <v>11300</v>
      </c>
      <c r="Q2366" s="52">
        <f t="shared" si="646"/>
        <v>0</v>
      </c>
      <c r="R2366" s="52">
        <f t="shared" si="646"/>
        <v>0</v>
      </c>
      <c r="T2366" s="52" t="e">
        <f t="shared" si="644"/>
        <v>#REF!</v>
      </c>
    </row>
    <row r="2367" spans="2:20" x14ac:dyDescent="0.25">
      <c r="B2367" s="97">
        <f t="shared" si="645"/>
        <v>6</v>
      </c>
      <c r="C2367" s="29"/>
      <c r="D2367" s="29"/>
      <c r="E2367" s="29"/>
      <c r="F2367" s="53" t="s">
        <v>551</v>
      </c>
      <c r="G2367" s="125">
        <v>610</v>
      </c>
      <c r="H2367" s="29" t="s">
        <v>338</v>
      </c>
      <c r="I2367" s="15">
        <v>106161</v>
      </c>
      <c r="J2367" s="15">
        <v>102655</v>
      </c>
      <c r="K2367" s="15">
        <v>102655</v>
      </c>
      <c r="L2367" s="15">
        <v>91209</v>
      </c>
      <c r="M2367" s="15">
        <v>86830</v>
      </c>
      <c r="N2367" s="15"/>
      <c r="O2367" s="15"/>
      <c r="P2367" s="15"/>
      <c r="Q2367" s="15"/>
      <c r="R2367" s="15"/>
      <c r="T2367" s="15">
        <f t="shared" si="644"/>
        <v>106161</v>
      </c>
    </row>
    <row r="2368" spans="2:20" x14ac:dyDescent="0.25">
      <c r="B2368" s="97">
        <f t="shared" si="645"/>
        <v>7</v>
      </c>
      <c r="C2368" s="29"/>
      <c r="D2368" s="29"/>
      <c r="E2368" s="29"/>
      <c r="F2368" s="53" t="s">
        <v>551</v>
      </c>
      <c r="G2368" s="125">
        <v>620</v>
      </c>
      <c r="H2368" s="29" t="s">
        <v>313</v>
      </c>
      <c r="I2368" s="15">
        <f>37246-30</f>
        <v>37216</v>
      </c>
      <c r="J2368" s="15">
        <v>35930</v>
      </c>
      <c r="K2368" s="15">
        <v>35930</v>
      </c>
      <c r="L2368" s="15">
        <v>33249</v>
      </c>
      <c r="M2368" s="15">
        <v>30401</v>
      </c>
      <c r="N2368" s="15"/>
      <c r="O2368" s="15"/>
      <c r="P2368" s="15"/>
      <c r="Q2368" s="15"/>
      <c r="R2368" s="15"/>
      <c r="T2368" s="15">
        <f t="shared" si="644"/>
        <v>37216</v>
      </c>
    </row>
    <row r="2369" spans="2:20" x14ac:dyDescent="0.25">
      <c r="B2369" s="97">
        <f t="shared" si="645"/>
        <v>8</v>
      </c>
      <c r="C2369" s="29"/>
      <c r="D2369" s="29"/>
      <c r="E2369" s="29"/>
      <c r="F2369" s="53" t="s">
        <v>551</v>
      </c>
      <c r="G2369" s="125">
        <v>630</v>
      </c>
      <c r="H2369" s="29" t="s">
        <v>303</v>
      </c>
      <c r="I2369" s="15">
        <f>SUM(I2370:I2373)</f>
        <v>54223</v>
      </c>
      <c r="J2369" s="15">
        <f t="shared" ref="J2369:M2369" si="647">J2373+J2372+J2371+J2370</f>
        <v>62315</v>
      </c>
      <c r="K2369" s="15">
        <f t="shared" si="647"/>
        <v>57415</v>
      </c>
      <c r="L2369" s="15">
        <f t="shared" si="647"/>
        <v>48603</v>
      </c>
      <c r="M2369" s="15">
        <f t="shared" si="647"/>
        <v>51957</v>
      </c>
      <c r="N2369" s="15"/>
      <c r="O2369" s="15"/>
      <c r="P2369" s="15"/>
      <c r="Q2369" s="15"/>
      <c r="R2369" s="15"/>
      <c r="T2369" s="15">
        <f t="shared" si="644"/>
        <v>54223</v>
      </c>
    </row>
    <row r="2370" spans="2:20" x14ac:dyDescent="0.25">
      <c r="B2370" s="97">
        <f t="shared" si="645"/>
        <v>9</v>
      </c>
      <c r="C2370" s="9"/>
      <c r="D2370" s="9"/>
      <c r="E2370" s="9"/>
      <c r="F2370" s="54" t="s">
        <v>551</v>
      </c>
      <c r="G2370" s="126">
        <v>632</v>
      </c>
      <c r="H2370" s="9" t="s">
        <v>314</v>
      </c>
      <c r="I2370" s="10">
        <v>15650</v>
      </c>
      <c r="J2370" s="10">
        <v>15650</v>
      </c>
      <c r="K2370" s="10">
        <v>15650</v>
      </c>
      <c r="L2370" s="10">
        <v>19669</v>
      </c>
      <c r="M2370" s="10">
        <v>20379</v>
      </c>
      <c r="N2370" s="10"/>
      <c r="O2370" s="10"/>
      <c r="P2370" s="10"/>
      <c r="Q2370" s="10"/>
      <c r="R2370" s="10"/>
      <c r="T2370" s="10">
        <f t="shared" si="644"/>
        <v>15650</v>
      </c>
    </row>
    <row r="2371" spans="2:20" x14ac:dyDescent="0.25">
      <c r="B2371" s="97">
        <f t="shared" si="645"/>
        <v>10</v>
      </c>
      <c r="C2371" s="9"/>
      <c r="D2371" s="9"/>
      <c r="E2371" s="9"/>
      <c r="F2371" s="54" t="s">
        <v>551</v>
      </c>
      <c r="G2371" s="126">
        <v>633</v>
      </c>
      <c r="H2371" s="9" t="s">
        <v>305</v>
      </c>
      <c r="I2371" s="10">
        <v>27650</v>
      </c>
      <c r="J2371" s="10">
        <v>23750</v>
      </c>
      <c r="K2371" s="10">
        <f>23750+5000</f>
        <v>28750</v>
      </c>
      <c r="L2371" s="10">
        <v>22282</v>
      </c>
      <c r="M2371" s="10">
        <v>18750</v>
      </c>
      <c r="N2371" s="10"/>
      <c r="O2371" s="10"/>
      <c r="P2371" s="10"/>
      <c r="Q2371" s="10"/>
      <c r="R2371" s="10"/>
      <c r="T2371" s="10">
        <f t="shared" si="644"/>
        <v>27650</v>
      </c>
    </row>
    <row r="2372" spans="2:20" x14ac:dyDescent="0.25">
      <c r="B2372" s="97">
        <f t="shared" si="645"/>
        <v>11</v>
      </c>
      <c r="C2372" s="9"/>
      <c r="D2372" s="9"/>
      <c r="E2372" s="9"/>
      <c r="F2372" s="54" t="s">
        <v>551</v>
      </c>
      <c r="G2372" s="126">
        <v>635</v>
      </c>
      <c r="H2372" s="9" t="s">
        <v>320</v>
      </c>
      <c r="I2372" s="10">
        <v>6310</v>
      </c>
      <c r="J2372" s="10">
        <v>18310</v>
      </c>
      <c r="K2372" s="10">
        <f>24710-16300</f>
        <v>8410</v>
      </c>
      <c r="L2372" s="10">
        <v>2878</v>
      </c>
      <c r="M2372" s="10">
        <v>9290</v>
      </c>
      <c r="N2372" s="10"/>
      <c r="O2372" s="10"/>
      <c r="P2372" s="10"/>
      <c r="Q2372" s="10"/>
      <c r="R2372" s="10"/>
      <c r="T2372" s="10">
        <f t="shared" si="644"/>
        <v>6310</v>
      </c>
    </row>
    <row r="2373" spans="2:20" x14ac:dyDescent="0.25">
      <c r="B2373" s="97">
        <f t="shared" si="645"/>
        <v>12</v>
      </c>
      <c r="C2373" s="9"/>
      <c r="D2373" s="9"/>
      <c r="E2373" s="9"/>
      <c r="F2373" s="54" t="s">
        <v>551</v>
      </c>
      <c r="G2373" s="126">
        <v>637</v>
      </c>
      <c r="H2373" s="9" t="s">
        <v>308</v>
      </c>
      <c r="I2373" s="10">
        <v>4613</v>
      </c>
      <c r="J2373" s="10">
        <v>4605</v>
      </c>
      <c r="K2373" s="10">
        <v>4605</v>
      </c>
      <c r="L2373" s="10">
        <v>3774</v>
      </c>
      <c r="M2373" s="10">
        <v>3538</v>
      </c>
      <c r="N2373" s="10"/>
      <c r="O2373" s="10"/>
      <c r="P2373" s="10"/>
      <c r="Q2373" s="10"/>
      <c r="R2373" s="10"/>
      <c r="T2373" s="10">
        <f t="shared" si="644"/>
        <v>4613</v>
      </c>
    </row>
    <row r="2374" spans="2:20" x14ac:dyDescent="0.25">
      <c r="B2374" s="97">
        <f t="shared" si="645"/>
        <v>13</v>
      </c>
      <c r="C2374" s="29"/>
      <c r="D2374" s="29"/>
      <c r="E2374" s="29"/>
      <c r="F2374" s="53" t="s">
        <v>551</v>
      </c>
      <c r="G2374" s="125">
        <v>640</v>
      </c>
      <c r="H2374" s="29" t="s">
        <v>315</v>
      </c>
      <c r="I2374" s="15">
        <v>300</v>
      </c>
      <c r="J2374" s="15">
        <v>300</v>
      </c>
      <c r="K2374" s="15">
        <v>400</v>
      </c>
      <c r="L2374" s="15">
        <v>106</v>
      </c>
      <c r="M2374" s="15">
        <v>440</v>
      </c>
      <c r="N2374" s="15"/>
      <c r="O2374" s="15"/>
      <c r="P2374" s="15"/>
      <c r="Q2374" s="15"/>
      <c r="R2374" s="15"/>
      <c r="T2374" s="15">
        <f t="shared" si="644"/>
        <v>300</v>
      </c>
    </row>
    <row r="2375" spans="2:20" x14ac:dyDescent="0.25">
      <c r="B2375" s="97">
        <f t="shared" si="645"/>
        <v>14</v>
      </c>
      <c r="C2375" s="29"/>
      <c r="D2375" s="29"/>
      <c r="E2375" s="29"/>
      <c r="F2375" s="53" t="s">
        <v>551</v>
      </c>
      <c r="G2375" s="125">
        <v>710</v>
      </c>
      <c r="H2375" s="29" t="s">
        <v>323</v>
      </c>
      <c r="I2375" s="15"/>
      <c r="J2375" s="15"/>
      <c r="K2375" s="15"/>
      <c r="L2375" s="15"/>
      <c r="M2375" s="15"/>
      <c r="N2375" s="15">
        <f>N2376</f>
        <v>10000</v>
      </c>
      <c r="O2375" s="15"/>
      <c r="P2375" s="15">
        <f>P2376</f>
        <v>11300</v>
      </c>
      <c r="Q2375" s="15"/>
      <c r="R2375" s="15"/>
      <c r="T2375" s="15">
        <f t="shared" si="644"/>
        <v>10000</v>
      </c>
    </row>
    <row r="2376" spans="2:20" x14ac:dyDescent="0.25">
      <c r="B2376" s="97">
        <f t="shared" si="645"/>
        <v>15</v>
      </c>
      <c r="C2376" s="29"/>
      <c r="D2376" s="61"/>
      <c r="E2376" s="29"/>
      <c r="F2376" s="55"/>
      <c r="G2376" s="128">
        <v>716</v>
      </c>
      <c r="H2376" s="56" t="s">
        <v>323</v>
      </c>
      <c r="I2376" s="15"/>
      <c r="J2376" s="15"/>
      <c r="K2376" s="15"/>
      <c r="L2376" s="15"/>
      <c r="M2376" s="15"/>
      <c r="N2376" s="16">
        <f>N2377</f>
        <v>10000</v>
      </c>
      <c r="O2376" s="15"/>
      <c r="P2376" s="16">
        <v>11300</v>
      </c>
      <c r="Q2376" s="15"/>
      <c r="R2376" s="15"/>
      <c r="T2376" s="15">
        <f t="shared" si="644"/>
        <v>10000</v>
      </c>
    </row>
    <row r="2377" spans="2:20" x14ac:dyDescent="0.25">
      <c r="B2377" s="97">
        <f t="shared" si="645"/>
        <v>16</v>
      </c>
      <c r="C2377" s="29"/>
      <c r="D2377" s="61"/>
      <c r="E2377" s="29"/>
      <c r="F2377" s="55"/>
      <c r="G2377" s="128"/>
      <c r="H2377" s="91" t="s">
        <v>851</v>
      </c>
      <c r="I2377" s="15"/>
      <c r="J2377" s="15"/>
      <c r="K2377" s="15"/>
      <c r="L2377" s="15"/>
      <c r="M2377" s="15"/>
      <c r="N2377" s="14">
        <v>10000</v>
      </c>
      <c r="O2377" s="14"/>
      <c r="P2377" s="14">
        <v>10000</v>
      </c>
      <c r="Q2377" s="14"/>
      <c r="R2377" s="14"/>
      <c r="T2377" s="14">
        <f t="shared" si="644"/>
        <v>10000</v>
      </c>
    </row>
    <row r="2378" spans="2:20" ht="15.75" x14ac:dyDescent="0.25">
      <c r="B2378" s="97">
        <f t="shared" si="645"/>
        <v>17</v>
      </c>
      <c r="C2378" s="45">
        <v>2</v>
      </c>
      <c r="D2378" s="293" t="s">
        <v>633</v>
      </c>
      <c r="E2378" s="294"/>
      <c r="F2378" s="294"/>
      <c r="G2378" s="294"/>
      <c r="H2378" s="295"/>
      <c r="I2378" s="46">
        <f>I2382</f>
        <v>2000</v>
      </c>
      <c r="J2378" s="46">
        <f t="shared" ref="J2378:M2382" si="648">J2379</f>
        <v>2000</v>
      </c>
      <c r="K2378" s="46">
        <f t="shared" si="648"/>
        <v>1600</v>
      </c>
      <c r="L2378" s="46">
        <f t="shared" si="648"/>
        <v>536</v>
      </c>
      <c r="M2378" s="46">
        <f t="shared" si="648"/>
        <v>120</v>
      </c>
      <c r="N2378" s="46"/>
      <c r="O2378" s="46">
        <f t="shared" ref="O2378:R2381" si="649">O2379</f>
        <v>0</v>
      </c>
      <c r="P2378" s="46">
        <f t="shared" si="649"/>
        <v>0</v>
      </c>
      <c r="Q2378" s="46">
        <f t="shared" si="649"/>
        <v>0</v>
      </c>
      <c r="R2378" s="46">
        <f t="shared" si="649"/>
        <v>0</v>
      </c>
      <c r="T2378" s="46">
        <f t="shared" si="644"/>
        <v>2000</v>
      </c>
    </row>
    <row r="2379" spans="2:20" hidden="1" x14ac:dyDescent="0.25">
      <c r="B2379" s="97">
        <f t="shared" si="645"/>
        <v>18</v>
      </c>
      <c r="C2379" s="47"/>
      <c r="D2379" s="47" t="s">
        <v>60</v>
      </c>
      <c r="E2379" s="296"/>
      <c r="F2379" s="294"/>
      <c r="G2379" s="294"/>
      <c r="H2379" s="295"/>
      <c r="I2379" s="48" t="e">
        <f>#REF!+#REF!</f>
        <v>#REF!</v>
      </c>
      <c r="J2379" s="48">
        <f t="shared" si="648"/>
        <v>2000</v>
      </c>
      <c r="K2379" s="48">
        <f t="shared" si="648"/>
        <v>1600</v>
      </c>
      <c r="L2379" s="48">
        <f t="shared" si="648"/>
        <v>536</v>
      </c>
      <c r="M2379" s="48">
        <f t="shared" si="648"/>
        <v>120</v>
      </c>
      <c r="N2379" s="48"/>
      <c r="O2379" s="48">
        <f t="shared" si="649"/>
        <v>0</v>
      </c>
      <c r="P2379" s="48">
        <f t="shared" si="649"/>
        <v>0</v>
      </c>
      <c r="Q2379" s="48">
        <f t="shared" si="649"/>
        <v>0</v>
      </c>
      <c r="R2379" s="48">
        <f t="shared" si="649"/>
        <v>0</v>
      </c>
      <c r="T2379" s="48" t="e">
        <f t="shared" si="644"/>
        <v>#REF!</v>
      </c>
    </row>
    <row r="2380" spans="2:20" hidden="1" x14ac:dyDescent="0.25">
      <c r="B2380" s="97">
        <f t="shared" si="645"/>
        <v>19</v>
      </c>
      <c r="C2380" s="49"/>
      <c r="D2380" s="49"/>
      <c r="E2380" s="49"/>
      <c r="F2380" s="49"/>
      <c r="G2380" s="123"/>
      <c r="H2380" s="49" t="s">
        <v>12</v>
      </c>
      <c r="I2380" s="50" t="e">
        <f>#REF!+#REF!</f>
        <v>#REF!</v>
      </c>
      <c r="J2380" s="50">
        <f t="shared" si="648"/>
        <v>2000</v>
      </c>
      <c r="K2380" s="50">
        <f t="shared" si="648"/>
        <v>1600</v>
      </c>
      <c r="L2380" s="50">
        <f t="shared" si="648"/>
        <v>536</v>
      </c>
      <c r="M2380" s="50">
        <f t="shared" si="648"/>
        <v>120</v>
      </c>
      <c r="N2380" s="50"/>
      <c r="O2380" s="50">
        <f t="shared" si="649"/>
        <v>0</v>
      </c>
      <c r="P2380" s="50">
        <f t="shared" si="649"/>
        <v>0</v>
      </c>
      <c r="Q2380" s="50">
        <f t="shared" si="649"/>
        <v>0</v>
      </c>
      <c r="R2380" s="50">
        <f t="shared" si="649"/>
        <v>0</v>
      </c>
      <c r="T2380" s="50" t="e">
        <f t="shared" si="644"/>
        <v>#REF!</v>
      </c>
    </row>
    <row r="2381" spans="2:20" hidden="1" x14ac:dyDescent="0.25">
      <c r="B2381" s="97">
        <f t="shared" si="645"/>
        <v>20</v>
      </c>
      <c r="C2381" s="51"/>
      <c r="D2381" s="51"/>
      <c r="E2381" s="51" t="s">
        <v>60</v>
      </c>
      <c r="F2381" s="51"/>
      <c r="G2381" s="124"/>
      <c r="H2381" s="51"/>
      <c r="I2381" s="52" t="e">
        <f>#REF!+#REF!</f>
        <v>#REF!</v>
      </c>
      <c r="J2381" s="52">
        <f t="shared" si="648"/>
        <v>2000</v>
      </c>
      <c r="K2381" s="52">
        <f t="shared" si="648"/>
        <v>1600</v>
      </c>
      <c r="L2381" s="52">
        <f t="shared" si="648"/>
        <v>536</v>
      </c>
      <c r="M2381" s="52">
        <f t="shared" si="648"/>
        <v>120</v>
      </c>
      <c r="N2381" s="52"/>
      <c r="O2381" s="52">
        <f t="shared" si="649"/>
        <v>0</v>
      </c>
      <c r="P2381" s="52">
        <f t="shared" si="649"/>
        <v>0</v>
      </c>
      <c r="Q2381" s="52">
        <f t="shared" si="649"/>
        <v>0</v>
      </c>
      <c r="R2381" s="52">
        <f t="shared" si="649"/>
        <v>0</v>
      </c>
      <c r="T2381" s="52" t="e">
        <f t="shared" si="644"/>
        <v>#REF!</v>
      </c>
    </row>
    <row r="2382" spans="2:20" x14ac:dyDescent="0.25">
      <c r="B2382" s="97">
        <f t="shared" si="645"/>
        <v>21</v>
      </c>
      <c r="C2382" s="29"/>
      <c r="D2382" s="29"/>
      <c r="E2382" s="29"/>
      <c r="F2382" s="53" t="s">
        <v>541</v>
      </c>
      <c r="G2382" s="125">
        <v>640</v>
      </c>
      <c r="H2382" s="29" t="s">
        <v>315</v>
      </c>
      <c r="I2382" s="15">
        <f>I2383</f>
        <v>2000</v>
      </c>
      <c r="J2382" s="15">
        <f t="shared" si="648"/>
        <v>2000</v>
      </c>
      <c r="K2382" s="15">
        <f t="shared" si="648"/>
        <v>1600</v>
      </c>
      <c r="L2382" s="15">
        <f t="shared" si="648"/>
        <v>536</v>
      </c>
      <c r="M2382" s="15">
        <f t="shared" si="648"/>
        <v>120</v>
      </c>
      <c r="N2382" s="15"/>
      <c r="O2382" s="15"/>
      <c r="P2382" s="15"/>
      <c r="Q2382" s="15"/>
      <c r="R2382" s="15"/>
      <c r="T2382" s="15">
        <f t="shared" si="644"/>
        <v>2000</v>
      </c>
    </row>
    <row r="2383" spans="2:20" x14ac:dyDescent="0.25">
      <c r="B2383" s="97">
        <f t="shared" si="645"/>
        <v>22</v>
      </c>
      <c r="C2383" s="9"/>
      <c r="D2383" s="9"/>
      <c r="E2383" s="9"/>
      <c r="F2383" s="54" t="s">
        <v>541</v>
      </c>
      <c r="G2383" s="126">
        <v>642</v>
      </c>
      <c r="H2383" s="9" t="s">
        <v>316</v>
      </c>
      <c r="I2383" s="10">
        <v>2000</v>
      </c>
      <c r="J2383" s="10">
        <v>2000</v>
      </c>
      <c r="K2383" s="10">
        <f>2000-400</f>
        <v>1600</v>
      </c>
      <c r="L2383" s="10">
        <v>536</v>
      </c>
      <c r="M2383" s="10">
        <v>120</v>
      </c>
      <c r="N2383" s="10"/>
      <c r="O2383" s="10"/>
      <c r="P2383" s="10"/>
      <c r="Q2383" s="10"/>
      <c r="R2383" s="10"/>
      <c r="T2383" s="10">
        <f t="shared" si="644"/>
        <v>2000</v>
      </c>
    </row>
    <row r="2384" spans="2:20" ht="15.75" x14ac:dyDescent="0.25">
      <c r="B2384" s="97">
        <f t="shared" si="645"/>
        <v>23</v>
      </c>
      <c r="C2384" s="45">
        <v>3</v>
      </c>
      <c r="D2384" s="293" t="s">
        <v>634</v>
      </c>
      <c r="E2384" s="294"/>
      <c r="F2384" s="294"/>
      <c r="G2384" s="294"/>
      <c r="H2384" s="295"/>
      <c r="I2384" s="46">
        <f>I2388</f>
        <v>35819</v>
      </c>
      <c r="J2384" s="46">
        <f t="shared" ref="J2384:M2388" si="650">J2385</f>
        <v>23070</v>
      </c>
      <c r="K2384" s="46">
        <f t="shared" si="650"/>
        <v>32070</v>
      </c>
      <c r="L2384" s="46">
        <f t="shared" si="650"/>
        <v>21965</v>
      </c>
      <c r="M2384" s="46">
        <f t="shared" si="650"/>
        <v>16199</v>
      </c>
      <c r="N2384" s="46"/>
      <c r="O2384" s="46">
        <f t="shared" ref="O2384:Q2384" si="651">O2388</f>
        <v>0</v>
      </c>
      <c r="P2384" s="46">
        <f t="shared" si="651"/>
        <v>0</v>
      </c>
      <c r="Q2384" s="46">
        <f t="shared" si="651"/>
        <v>0</v>
      </c>
      <c r="R2384" s="46">
        <f>R2404</f>
        <v>7000</v>
      </c>
      <c r="T2384" s="46">
        <f t="shared" si="644"/>
        <v>35819</v>
      </c>
    </row>
    <row r="2385" spans="2:20" hidden="1" x14ac:dyDescent="0.25">
      <c r="B2385" s="97">
        <f t="shared" si="645"/>
        <v>24</v>
      </c>
      <c r="C2385" s="47"/>
      <c r="D2385" s="47" t="s">
        <v>60</v>
      </c>
      <c r="E2385" s="296"/>
      <c r="F2385" s="294"/>
      <c r="G2385" s="294"/>
      <c r="H2385" s="295"/>
      <c r="I2385" s="48" t="e">
        <f>#REF!+#REF!</f>
        <v>#REF!</v>
      </c>
      <c r="J2385" s="48">
        <f t="shared" si="650"/>
        <v>23070</v>
      </c>
      <c r="K2385" s="48">
        <f t="shared" si="650"/>
        <v>32070</v>
      </c>
      <c r="L2385" s="48">
        <f t="shared" si="650"/>
        <v>21965</v>
      </c>
      <c r="M2385" s="48">
        <f t="shared" si="650"/>
        <v>16199</v>
      </c>
      <c r="N2385" s="48"/>
      <c r="O2385" s="48" t="e">
        <f>N2385+#REF!</f>
        <v>#REF!</v>
      </c>
      <c r="P2385" s="48" t="e">
        <f>O2385+N2385</f>
        <v>#REF!</v>
      </c>
      <c r="Q2385" s="48" t="e">
        <f>#REF!+P2385</f>
        <v>#REF!</v>
      </c>
      <c r="R2385" s="48" t="e">
        <f>Q2385+#REF!</f>
        <v>#REF!</v>
      </c>
      <c r="T2385" s="48" t="e">
        <f t="shared" si="644"/>
        <v>#REF!</v>
      </c>
    </row>
    <row r="2386" spans="2:20" hidden="1" x14ac:dyDescent="0.25">
      <c r="B2386" s="97">
        <f t="shared" si="645"/>
        <v>25</v>
      </c>
      <c r="C2386" s="49"/>
      <c r="D2386" s="49"/>
      <c r="E2386" s="49"/>
      <c r="F2386" s="49"/>
      <c r="G2386" s="123"/>
      <c r="H2386" s="49" t="s">
        <v>12</v>
      </c>
      <c r="I2386" s="50" t="e">
        <f>#REF!+#REF!</f>
        <v>#REF!</v>
      </c>
      <c r="J2386" s="50">
        <f t="shared" si="650"/>
        <v>23070</v>
      </c>
      <c r="K2386" s="50">
        <f t="shared" si="650"/>
        <v>32070</v>
      </c>
      <c r="L2386" s="50">
        <f t="shared" si="650"/>
        <v>21965</v>
      </c>
      <c r="M2386" s="50">
        <f t="shared" si="650"/>
        <v>16199</v>
      </c>
      <c r="N2386" s="50"/>
      <c r="O2386" s="50" t="e">
        <f>N2386+#REF!</f>
        <v>#REF!</v>
      </c>
      <c r="P2386" s="50" t="e">
        <f>O2386+N2386</f>
        <v>#REF!</v>
      </c>
      <c r="Q2386" s="50" t="e">
        <f>#REF!+P2386</f>
        <v>#REF!</v>
      </c>
      <c r="R2386" s="50" t="e">
        <f>Q2386+#REF!</f>
        <v>#REF!</v>
      </c>
      <c r="T2386" s="50" t="e">
        <f t="shared" si="644"/>
        <v>#REF!</v>
      </c>
    </row>
    <row r="2387" spans="2:20" hidden="1" x14ac:dyDescent="0.25">
      <c r="B2387" s="97">
        <f t="shared" si="645"/>
        <v>26</v>
      </c>
      <c r="C2387" s="51"/>
      <c r="D2387" s="51"/>
      <c r="E2387" s="51" t="s">
        <v>60</v>
      </c>
      <c r="F2387" s="51"/>
      <c r="G2387" s="124"/>
      <c r="H2387" s="51"/>
      <c r="I2387" s="52" t="e">
        <f>#REF!+#REF!</f>
        <v>#REF!</v>
      </c>
      <c r="J2387" s="52">
        <f t="shared" si="650"/>
        <v>23070</v>
      </c>
      <c r="K2387" s="52">
        <f t="shared" si="650"/>
        <v>32070</v>
      </c>
      <c r="L2387" s="52">
        <f t="shared" si="650"/>
        <v>21965</v>
      </c>
      <c r="M2387" s="52">
        <f t="shared" si="650"/>
        <v>16199</v>
      </c>
      <c r="N2387" s="52"/>
      <c r="O2387" s="52" t="e">
        <f>N2387+#REF!</f>
        <v>#REF!</v>
      </c>
      <c r="P2387" s="52" t="e">
        <f>O2387+N2387</f>
        <v>#REF!</v>
      </c>
      <c r="Q2387" s="52" t="e">
        <f>#REF!+P2387</f>
        <v>#REF!</v>
      </c>
      <c r="R2387" s="52" t="e">
        <f>Q2387+#REF!</f>
        <v>#REF!</v>
      </c>
      <c r="T2387" s="52" t="e">
        <f t="shared" si="644"/>
        <v>#REF!</v>
      </c>
    </row>
    <row r="2388" spans="2:20" x14ac:dyDescent="0.25">
      <c r="B2388" s="97">
        <f t="shared" si="645"/>
        <v>27</v>
      </c>
      <c r="C2388" s="29"/>
      <c r="D2388" s="29"/>
      <c r="E2388" s="29"/>
      <c r="F2388" s="53" t="s">
        <v>635</v>
      </c>
      <c r="G2388" s="125">
        <v>640</v>
      </c>
      <c r="H2388" s="29" t="s">
        <v>315</v>
      </c>
      <c r="I2388" s="15">
        <f>I2389</f>
        <v>35819</v>
      </c>
      <c r="J2388" s="15">
        <f t="shared" si="650"/>
        <v>23070</v>
      </c>
      <c r="K2388" s="15">
        <f t="shared" si="650"/>
        <v>32070</v>
      </c>
      <c r="L2388" s="15">
        <f t="shared" si="650"/>
        <v>21965</v>
      </c>
      <c r="M2388" s="15">
        <f t="shared" si="650"/>
        <v>16199</v>
      </c>
      <c r="N2388" s="15"/>
      <c r="O2388" s="15"/>
      <c r="P2388" s="15"/>
      <c r="Q2388" s="15"/>
      <c r="R2388" s="15"/>
      <c r="T2388" s="15">
        <f t="shared" si="644"/>
        <v>35819</v>
      </c>
    </row>
    <row r="2389" spans="2:20" x14ac:dyDescent="0.25">
      <c r="B2389" s="97">
        <f t="shared" si="645"/>
        <v>28</v>
      </c>
      <c r="C2389" s="9"/>
      <c r="D2389" s="9"/>
      <c r="E2389" s="9"/>
      <c r="F2389" s="54" t="s">
        <v>635</v>
      </c>
      <c r="G2389" s="126">
        <v>642</v>
      </c>
      <c r="H2389" s="9" t="s">
        <v>316</v>
      </c>
      <c r="I2389" s="10">
        <f>I2390+I2391+I2392+I2393+I2401+I2403</f>
        <v>35819</v>
      </c>
      <c r="J2389" s="10">
        <f>J2390+J2391+J2392+J2393+J2401</f>
        <v>23070</v>
      </c>
      <c r="K2389" s="10">
        <f>K2390+K2391+K2392+K2393+K2401+K2403</f>
        <v>32070</v>
      </c>
      <c r="L2389" s="10">
        <f>L2390+L2391+L2392+L2393+L2401</f>
        <v>21965</v>
      </c>
      <c r="M2389" s="10">
        <f>M2390+M2391+M2392+M2393+M2401+M2402</f>
        <v>16199</v>
      </c>
      <c r="N2389" s="10"/>
      <c r="O2389" s="10"/>
      <c r="P2389" s="10"/>
      <c r="Q2389" s="10"/>
      <c r="R2389" s="10"/>
      <c r="T2389" s="10">
        <f t="shared" si="644"/>
        <v>35819</v>
      </c>
    </row>
    <row r="2390" spans="2:20" x14ac:dyDescent="0.25">
      <c r="B2390" s="97">
        <f t="shared" si="645"/>
        <v>29</v>
      </c>
      <c r="C2390" s="12"/>
      <c r="D2390" s="12"/>
      <c r="E2390" s="12"/>
      <c r="F2390" s="12"/>
      <c r="G2390" s="127"/>
      <c r="H2390" s="65" t="s">
        <v>602</v>
      </c>
      <c r="I2390" s="10">
        <v>5500</v>
      </c>
      <c r="J2390" s="10">
        <v>5000</v>
      </c>
      <c r="K2390" s="10">
        <v>5000</v>
      </c>
      <c r="L2390" s="10">
        <v>2000</v>
      </c>
      <c r="M2390" s="10">
        <v>2000</v>
      </c>
      <c r="N2390" s="13"/>
      <c r="O2390" s="13"/>
      <c r="P2390" s="13"/>
      <c r="Q2390" s="13"/>
      <c r="R2390" s="13"/>
      <c r="T2390" s="13">
        <f t="shared" si="644"/>
        <v>5500</v>
      </c>
    </row>
    <row r="2391" spans="2:20" x14ac:dyDescent="0.25">
      <c r="B2391" s="97">
        <f t="shared" si="645"/>
        <v>30</v>
      </c>
      <c r="C2391" s="12"/>
      <c r="D2391" s="12"/>
      <c r="E2391" s="12"/>
      <c r="F2391" s="12"/>
      <c r="G2391" s="127"/>
      <c r="H2391" s="65" t="s">
        <v>720</v>
      </c>
      <c r="I2391" s="10">
        <v>817</v>
      </c>
      <c r="J2391" s="10">
        <v>906</v>
      </c>
      <c r="K2391" s="10">
        <v>800</v>
      </c>
      <c r="L2391" s="10">
        <v>898</v>
      </c>
      <c r="M2391" s="10">
        <v>1077</v>
      </c>
      <c r="N2391" s="13"/>
      <c r="O2391" s="13"/>
      <c r="P2391" s="13"/>
      <c r="Q2391" s="13"/>
      <c r="R2391" s="13"/>
      <c r="T2391" s="13">
        <f t="shared" si="644"/>
        <v>817</v>
      </c>
    </row>
    <row r="2392" spans="2:20" x14ac:dyDescent="0.25">
      <c r="B2392" s="97">
        <f t="shared" si="645"/>
        <v>31</v>
      </c>
      <c r="C2392" s="12"/>
      <c r="D2392" s="12"/>
      <c r="E2392" s="12"/>
      <c r="F2392" s="12"/>
      <c r="G2392" s="127"/>
      <c r="H2392" s="65" t="s">
        <v>721</v>
      </c>
      <c r="I2392" s="10">
        <v>2025</v>
      </c>
      <c r="J2392" s="10">
        <v>1928</v>
      </c>
      <c r="K2392" s="10">
        <v>1980</v>
      </c>
      <c r="L2392" s="10">
        <v>1910</v>
      </c>
      <c r="M2392" s="10">
        <v>1940</v>
      </c>
      <c r="N2392" s="13"/>
      <c r="O2392" s="13"/>
      <c r="P2392" s="13"/>
      <c r="Q2392" s="13"/>
      <c r="R2392" s="13"/>
      <c r="T2392" s="13">
        <f t="shared" si="644"/>
        <v>2025</v>
      </c>
    </row>
    <row r="2393" spans="2:20" ht="24" x14ac:dyDescent="0.25">
      <c r="B2393" s="97">
        <f t="shared" si="645"/>
        <v>32</v>
      </c>
      <c r="C2393" s="12"/>
      <c r="D2393" s="12"/>
      <c r="E2393" s="12"/>
      <c r="F2393" s="12"/>
      <c r="G2393" s="127"/>
      <c r="H2393" s="106" t="s">
        <v>722</v>
      </c>
      <c r="I2393" s="10">
        <f>SUM(I2394:I2400)</f>
        <v>8477</v>
      </c>
      <c r="J2393" s="10">
        <f>SUM(J2394:J2400)</f>
        <v>8236</v>
      </c>
      <c r="K2393" s="10">
        <f t="shared" ref="K2393:M2393" si="652">SUM(K2394:K2400)</f>
        <v>8290</v>
      </c>
      <c r="L2393" s="10">
        <f t="shared" si="652"/>
        <v>8157</v>
      </c>
      <c r="M2393" s="10">
        <f t="shared" si="652"/>
        <v>8182</v>
      </c>
      <c r="N2393" s="13"/>
      <c r="O2393" s="13"/>
      <c r="P2393" s="13"/>
      <c r="Q2393" s="13"/>
      <c r="R2393" s="13"/>
      <c r="T2393" s="13">
        <f t="shared" si="644"/>
        <v>8477</v>
      </c>
    </row>
    <row r="2394" spans="2:20" x14ac:dyDescent="0.25">
      <c r="B2394" s="97">
        <f t="shared" si="645"/>
        <v>33</v>
      </c>
      <c r="C2394" s="12"/>
      <c r="D2394" s="12"/>
      <c r="E2394" s="12"/>
      <c r="F2394" s="12"/>
      <c r="G2394" s="127"/>
      <c r="H2394" s="106" t="s">
        <v>723</v>
      </c>
      <c r="I2394" s="10">
        <v>1088</v>
      </c>
      <c r="J2394" s="10">
        <v>1080</v>
      </c>
      <c r="K2394" s="10">
        <v>1063</v>
      </c>
      <c r="L2394" s="10">
        <v>1070</v>
      </c>
      <c r="M2394" s="10">
        <v>1020</v>
      </c>
      <c r="N2394" s="13"/>
      <c r="O2394" s="13"/>
      <c r="P2394" s="13"/>
      <c r="Q2394" s="13"/>
      <c r="R2394" s="13"/>
      <c r="T2394" s="13">
        <f t="shared" si="644"/>
        <v>1088</v>
      </c>
    </row>
    <row r="2395" spans="2:20" x14ac:dyDescent="0.25">
      <c r="B2395" s="97">
        <f t="shared" si="645"/>
        <v>34</v>
      </c>
      <c r="C2395" s="12"/>
      <c r="D2395" s="12"/>
      <c r="E2395" s="12"/>
      <c r="F2395" s="12"/>
      <c r="G2395" s="127"/>
      <c r="H2395" s="106" t="s">
        <v>724</v>
      </c>
      <c r="I2395" s="10">
        <v>1988</v>
      </c>
      <c r="J2395" s="10">
        <v>1819</v>
      </c>
      <c r="K2395" s="10">
        <v>1943</v>
      </c>
      <c r="L2395" s="10">
        <v>1802</v>
      </c>
      <c r="M2395" s="10">
        <v>1798</v>
      </c>
      <c r="N2395" s="13"/>
      <c r="O2395" s="13"/>
      <c r="P2395" s="13"/>
      <c r="Q2395" s="13"/>
      <c r="R2395" s="13"/>
      <c r="T2395" s="13">
        <f t="shared" si="644"/>
        <v>1988</v>
      </c>
    </row>
    <row r="2396" spans="2:20" x14ac:dyDescent="0.25">
      <c r="B2396" s="97">
        <f t="shared" si="645"/>
        <v>35</v>
      </c>
      <c r="C2396" s="12"/>
      <c r="D2396" s="12"/>
      <c r="E2396" s="12"/>
      <c r="F2396" s="12"/>
      <c r="G2396" s="127"/>
      <c r="H2396" s="106" t="s">
        <v>725</v>
      </c>
      <c r="I2396" s="10">
        <v>353</v>
      </c>
      <c r="J2396" s="10">
        <v>370</v>
      </c>
      <c r="K2396" s="10">
        <v>346</v>
      </c>
      <c r="L2396" s="10">
        <v>366</v>
      </c>
      <c r="M2396" s="10">
        <v>399</v>
      </c>
      <c r="N2396" s="13"/>
      <c r="O2396" s="13"/>
      <c r="P2396" s="13"/>
      <c r="Q2396" s="13"/>
      <c r="R2396" s="13"/>
      <c r="T2396" s="13">
        <f t="shared" si="644"/>
        <v>353</v>
      </c>
    </row>
    <row r="2397" spans="2:20" x14ac:dyDescent="0.25">
      <c r="B2397" s="97">
        <f t="shared" si="645"/>
        <v>36</v>
      </c>
      <c r="C2397" s="12"/>
      <c r="D2397" s="12"/>
      <c r="E2397" s="12"/>
      <c r="F2397" s="12"/>
      <c r="G2397" s="127"/>
      <c r="H2397" s="106" t="s">
        <v>726</v>
      </c>
      <c r="I2397" s="10">
        <v>2430</v>
      </c>
      <c r="J2397" s="10">
        <v>2704</v>
      </c>
      <c r="K2397" s="10">
        <v>2376</v>
      </c>
      <c r="L2397" s="10">
        <v>2678</v>
      </c>
      <c r="M2397" s="10">
        <v>2611</v>
      </c>
      <c r="N2397" s="13"/>
      <c r="O2397" s="13"/>
      <c r="P2397" s="13"/>
      <c r="Q2397" s="13"/>
      <c r="R2397" s="13"/>
      <c r="T2397" s="13">
        <f t="shared" si="644"/>
        <v>2430</v>
      </c>
    </row>
    <row r="2398" spans="2:20" x14ac:dyDescent="0.25">
      <c r="B2398" s="97">
        <f t="shared" si="645"/>
        <v>37</v>
      </c>
      <c r="C2398" s="12"/>
      <c r="D2398" s="12"/>
      <c r="E2398" s="12"/>
      <c r="F2398" s="12"/>
      <c r="G2398" s="127"/>
      <c r="H2398" s="106" t="s">
        <v>727</v>
      </c>
      <c r="I2398" s="10">
        <v>465</v>
      </c>
      <c r="J2398" s="10">
        <v>422</v>
      </c>
      <c r="K2398" s="10">
        <v>456</v>
      </c>
      <c r="L2398" s="10">
        <v>417</v>
      </c>
      <c r="M2398" s="10">
        <v>392</v>
      </c>
      <c r="N2398" s="13"/>
      <c r="O2398" s="13"/>
      <c r="P2398" s="13"/>
      <c r="Q2398" s="13"/>
      <c r="R2398" s="13"/>
      <c r="T2398" s="13">
        <f t="shared" si="644"/>
        <v>465</v>
      </c>
    </row>
    <row r="2399" spans="2:20" x14ac:dyDescent="0.25">
      <c r="B2399" s="97">
        <f t="shared" si="645"/>
        <v>38</v>
      </c>
      <c r="C2399" s="12"/>
      <c r="D2399" s="12"/>
      <c r="E2399" s="12"/>
      <c r="F2399" s="12"/>
      <c r="G2399" s="127"/>
      <c r="H2399" s="106" t="s">
        <v>728</v>
      </c>
      <c r="I2399" s="10">
        <v>1463</v>
      </c>
      <c r="J2399" s="10">
        <v>1363</v>
      </c>
      <c r="K2399" s="10">
        <v>1430</v>
      </c>
      <c r="L2399" s="10">
        <v>1350</v>
      </c>
      <c r="M2399" s="10">
        <v>1505</v>
      </c>
      <c r="N2399" s="13"/>
      <c r="O2399" s="13"/>
      <c r="P2399" s="13"/>
      <c r="Q2399" s="13"/>
      <c r="R2399" s="13"/>
      <c r="T2399" s="13">
        <f t="shared" si="644"/>
        <v>1463</v>
      </c>
    </row>
    <row r="2400" spans="2:20" x14ac:dyDescent="0.25">
      <c r="B2400" s="97">
        <f t="shared" si="645"/>
        <v>39</v>
      </c>
      <c r="C2400" s="12"/>
      <c r="D2400" s="12"/>
      <c r="E2400" s="12"/>
      <c r="F2400" s="12"/>
      <c r="G2400" s="127"/>
      <c r="H2400" s="106" t="s">
        <v>729</v>
      </c>
      <c r="I2400" s="10">
        <v>690</v>
      </c>
      <c r="J2400" s="10">
        <v>478</v>
      </c>
      <c r="K2400" s="10">
        <v>676</v>
      </c>
      <c r="L2400" s="10">
        <v>474</v>
      </c>
      <c r="M2400" s="10">
        <v>457</v>
      </c>
      <c r="N2400" s="13"/>
      <c r="O2400" s="13"/>
      <c r="P2400" s="13"/>
      <c r="Q2400" s="13"/>
      <c r="R2400" s="13"/>
      <c r="T2400" s="13">
        <f t="shared" si="644"/>
        <v>690</v>
      </c>
    </row>
    <row r="2401" spans="2:20" s="104" customFormat="1" ht="24" x14ac:dyDescent="0.25">
      <c r="B2401" s="97">
        <f t="shared" si="645"/>
        <v>40</v>
      </c>
      <c r="C2401" s="109"/>
      <c r="D2401" s="109"/>
      <c r="E2401" s="109"/>
      <c r="F2401" s="109"/>
      <c r="G2401" s="133"/>
      <c r="H2401" s="106" t="s">
        <v>730</v>
      </c>
      <c r="I2401" s="103">
        <v>7000</v>
      </c>
      <c r="J2401" s="103">
        <v>7000</v>
      </c>
      <c r="K2401" s="103">
        <v>7000</v>
      </c>
      <c r="L2401" s="103">
        <v>9000</v>
      </c>
      <c r="M2401" s="103">
        <v>2000</v>
      </c>
      <c r="N2401" s="110"/>
      <c r="O2401" s="110"/>
      <c r="P2401" s="110"/>
      <c r="Q2401" s="110"/>
      <c r="R2401" s="110"/>
      <c r="T2401" s="110">
        <f t="shared" si="644"/>
        <v>7000</v>
      </c>
    </row>
    <row r="2402" spans="2:20" x14ac:dyDescent="0.25">
      <c r="B2402" s="97">
        <f t="shared" si="645"/>
        <v>41</v>
      </c>
      <c r="C2402" s="12"/>
      <c r="D2402" s="12"/>
      <c r="E2402" s="12"/>
      <c r="F2402" s="12"/>
      <c r="G2402" s="127"/>
      <c r="H2402" s="107" t="s">
        <v>731</v>
      </c>
      <c r="I2402" s="10"/>
      <c r="J2402" s="10"/>
      <c r="K2402" s="10"/>
      <c r="L2402" s="10"/>
      <c r="M2402" s="10">
        <v>1000</v>
      </c>
      <c r="N2402" s="13"/>
      <c r="O2402" s="13"/>
      <c r="P2402" s="13"/>
      <c r="Q2402" s="13"/>
      <c r="R2402" s="13"/>
      <c r="T2402" s="13">
        <f t="shared" si="644"/>
        <v>0</v>
      </c>
    </row>
    <row r="2403" spans="2:20" x14ac:dyDescent="0.25">
      <c r="B2403" s="97">
        <f t="shared" si="645"/>
        <v>42</v>
      </c>
      <c r="C2403" s="12"/>
      <c r="D2403" s="12"/>
      <c r="E2403" s="12"/>
      <c r="F2403" s="12"/>
      <c r="G2403" s="127"/>
      <c r="H2403" s="107" t="s">
        <v>783</v>
      </c>
      <c r="I2403" s="10">
        <v>12000</v>
      </c>
      <c r="J2403" s="10"/>
      <c r="K2403" s="10">
        <v>9000</v>
      </c>
      <c r="L2403" s="10"/>
      <c r="M2403" s="10"/>
      <c r="N2403" s="13"/>
      <c r="O2403" s="13"/>
      <c r="P2403" s="13"/>
      <c r="Q2403" s="13"/>
      <c r="R2403" s="13"/>
      <c r="T2403" s="13">
        <f t="shared" si="644"/>
        <v>12000</v>
      </c>
    </row>
    <row r="2404" spans="2:20" x14ac:dyDescent="0.25">
      <c r="B2404" s="97">
        <f t="shared" si="645"/>
        <v>43</v>
      </c>
      <c r="C2404" s="12"/>
      <c r="D2404" s="12"/>
      <c r="E2404" s="12"/>
      <c r="F2404" s="12">
        <v>1090</v>
      </c>
      <c r="G2404" s="125">
        <v>710</v>
      </c>
      <c r="H2404" s="29" t="s">
        <v>321</v>
      </c>
      <c r="I2404" s="15">
        <v>0</v>
      </c>
      <c r="J2404" s="15">
        <f t="shared" ref="J2404:M2404" si="653">J2405</f>
        <v>0</v>
      </c>
      <c r="K2404" s="15">
        <f t="shared" si="653"/>
        <v>0</v>
      </c>
      <c r="L2404" s="15">
        <f t="shared" si="653"/>
        <v>0</v>
      </c>
      <c r="M2404" s="15">
        <f t="shared" si="653"/>
        <v>0</v>
      </c>
      <c r="N2404" s="15"/>
      <c r="O2404" s="15"/>
      <c r="P2404" s="15"/>
      <c r="Q2404" s="15"/>
      <c r="R2404" s="15">
        <f>R2405+R2406</f>
        <v>7000</v>
      </c>
      <c r="T2404" s="15">
        <f t="shared" si="644"/>
        <v>0</v>
      </c>
    </row>
    <row r="2405" spans="2:20" x14ac:dyDescent="0.25">
      <c r="B2405" s="97">
        <f t="shared" si="645"/>
        <v>44</v>
      </c>
      <c r="C2405" s="12"/>
      <c r="D2405" s="12"/>
      <c r="E2405" s="12"/>
      <c r="F2405" s="9">
        <v>1090</v>
      </c>
      <c r="G2405" s="126">
        <v>713</v>
      </c>
      <c r="H2405" s="65" t="s">
        <v>636</v>
      </c>
      <c r="I2405" s="10"/>
      <c r="J2405" s="10"/>
      <c r="K2405" s="10"/>
      <c r="L2405" s="10"/>
      <c r="M2405" s="10"/>
      <c r="N2405" s="10"/>
      <c r="O2405" s="10"/>
      <c r="P2405" s="10"/>
      <c r="Q2405" s="10"/>
      <c r="R2405" s="10">
        <v>6585</v>
      </c>
      <c r="T2405" s="10">
        <f t="shared" si="644"/>
        <v>0</v>
      </c>
    </row>
    <row r="2406" spans="2:20" x14ac:dyDescent="0.25">
      <c r="B2406" s="97">
        <f t="shared" si="645"/>
        <v>45</v>
      </c>
      <c r="C2406" s="12"/>
      <c r="D2406" s="12"/>
      <c r="E2406" s="12"/>
      <c r="F2406" s="9">
        <v>1090</v>
      </c>
      <c r="G2406" s="126">
        <v>719</v>
      </c>
      <c r="H2406" s="65" t="s">
        <v>637</v>
      </c>
      <c r="I2406" s="10"/>
      <c r="J2406" s="10"/>
      <c r="K2406" s="10"/>
      <c r="L2406" s="10"/>
      <c r="M2406" s="10"/>
      <c r="N2406" s="10"/>
      <c r="O2406" s="10"/>
      <c r="P2406" s="10"/>
      <c r="Q2406" s="10"/>
      <c r="R2406" s="10">
        <v>415</v>
      </c>
      <c r="T2406" s="10">
        <f t="shared" si="644"/>
        <v>0</v>
      </c>
    </row>
    <row r="2407" spans="2:20" ht="15.75" x14ac:dyDescent="0.25">
      <c r="B2407" s="97">
        <f t="shared" si="645"/>
        <v>46</v>
      </c>
      <c r="C2407" s="45">
        <v>4</v>
      </c>
      <c r="D2407" s="293" t="s">
        <v>638</v>
      </c>
      <c r="E2407" s="294"/>
      <c r="F2407" s="294"/>
      <c r="G2407" s="294"/>
      <c r="H2407" s="295"/>
      <c r="I2407" s="46">
        <f>I2411</f>
        <v>71900</v>
      </c>
      <c r="J2407" s="46">
        <f t="shared" ref="J2407:M2407" si="654">J2411</f>
        <v>40210</v>
      </c>
      <c r="K2407" s="46">
        <f t="shared" si="654"/>
        <v>68302</v>
      </c>
      <c r="L2407" s="46">
        <f t="shared" si="654"/>
        <v>21884</v>
      </c>
      <c r="M2407" s="46">
        <f t="shared" si="654"/>
        <v>25297</v>
      </c>
      <c r="N2407" s="46"/>
      <c r="O2407" s="46">
        <v>0</v>
      </c>
      <c r="P2407" s="46">
        <v>0</v>
      </c>
      <c r="Q2407" s="46">
        <v>0</v>
      </c>
      <c r="R2407" s="46">
        <v>0</v>
      </c>
      <c r="T2407" s="46">
        <f t="shared" si="644"/>
        <v>71900</v>
      </c>
    </row>
    <row r="2408" spans="2:20" hidden="1" x14ac:dyDescent="0.25">
      <c r="B2408" s="97">
        <f t="shared" si="645"/>
        <v>47</v>
      </c>
      <c r="C2408" s="47"/>
      <c r="D2408" s="47" t="s">
        <v>60</v>
      </c>
      <c r="E2408" s="296"/>
      <c r="F2408" s="294"/>
      <c r="G2408" s="294"/>
      <c r="H2408" s="295"/>
      <c r="I2408" s="48" t="e">
        <f>#REF!+#REF!</f>
        <v>#REF!</v>
      </c>
      <c r="J2408" s="48" t="e">
        <f>J2411+J2409</f>
        <v>#REF!</v>
      </c>
      <c r="K2408" s="48" t="e">
        <f>K2411+K2409</f>
        <v>#REF!</v>
      </c>
      <c r="L2408" s="48" t="e">
        <f>L2411+L2409</f>
        <v>#REF!</v>
      </c>
      <c r="M2408" s="48" t="e">
        <f>M2411+M2409</f>
        <v>#REF!</v>
      </c>
      <c r="N2408" s="48"/>
      <c r="O2408" s="48" t="e">
        <f>O2411+O2409</f>
        <v>#REF!</v>
      </c>
      <c r="P2408" s="48" t="e">
        <f>P2411+P2409</f>
        <v>#REF!</v>
      </c>
      <c r="Q2408" s="48" t="e">
        <f>Q2411+Q2409</f>
        <v>#REF!</v>
      </c>
      <c r="R2408" s="48" t="e">
        <f>R2411+R2409</f>
        <v>#REF!</v>
      </c>
      <c r="T2408" s="48" t="e">
        <f t="shared" si="644"/>
        <v>#REF!</v>
      </c>
    </row>
    <row r="2409" spans="2:20" hidden="1" x14ac:dyDescent="0.25">
      <c r="B2409" s="97">
        <f t="shared" si="645"/>
        <v>48</v>
      </c>
      <c r="C2409" s="49"/>
      <c r="D2409" s="49"/>
      <c r="E2409" s="49"/>
      <c r="F2409" s="49"/>
      <c r="G2409" s="123"/>
      <c r="H2409" s="49" t="s">
        <v>12</v>
      </c>
      <c r="I2409" s="50" t="e">
        <f>#REF!+#REF!</f>
        <v>#REF!</v>
      </c>
      <c r="J2409" s="50" t="e">
        <f t="shared" ref="J2409:M2409" si="655">J2410</f>
        <v>#REF!</v>
      </c>
      <c r="K2409" s="50" t="e">
        <f t="shared" si="655"/>
        <v>#REF!</v>
      </c>
      <c r="L2409" s="50" t="e">
        <f t="shared" si="655"/>
        <v>#REF!</v>
      </c>
      <c r="M2409" s="50" t="e">
        <f t="shared" si="655"/>
        <v>#REF!</v>
      </c>
      <c r="N2409" s="50"/>
      <c r="O2409" s="50" t="e">
        <f t="shared" ref="O2409:R2409" si="656">O2410</f>
        <v>#REF!</v>
      </c>
      <c r="P2409" s="50" t="e">
        <f t="shared" si="656"/>
        <v>#REF!</v>
      </c>
      <c r="Q2409" s="50" t="e">
        <f t="shared" si="656"/>
        <v>#REF!</v>
      </c>
      <c r="R2409" s="50" t="e">
        <f t="shared" si="656"/>
        <v>#REF!</v>
      </c>
      <c r="T2409" s="50" t="e">
        <f t="shared" si="644"/>
        <v>#REF!</v>
      </c>
    </row>
    <row r="2410" spans="2:20" hidden="1" x14ac:dyDescent="0.25">
      <c r="B2410" s="97">
        <f t="shared" si="645"/>
        <v>49</v>
      </c>
      <c r="C2410" s="51"/>
      <c r="D2410" s="51"/>
      <c r="E2410" s="51" t="s">
        <v>60</v>
      </c>
      <c r="F2410" s="51"/>
      <c r="G2410" s="124"/>
      <c r="H2410" s="51"/>
      <c r="I2410" s="52" t="e">
        <f>#REF!+#REF!</f>
        <v>#REF!</v>
      </c>
      <c r="J2410" s="52" t="e">
        <f>#REF!</f>
        <v>#REF!</v>
      </c>
      <c r="K2410" s="52" t="e">
        <f>#REF!</f>
        <v>#REF!</v>
      </c>
      <c r="L2410" s="52" t="e">
        <f>#REF!</f>
        <v>#REF!</v>
      </c>
      <c r="M2410" s="52" t="e">
        <f>#REF!</f>
        <v>#REF!</v>
      </c>
      <c r="N2410" s="52"/>
      <c r="O2410" s="52" t="e">
        <f>#REF!</f>
        <v>#REF!</v>
      </c>
      <c r="P2410" s="52" t="e">
        <f>#REF!</f>
        <v>#REF!</v>
      </c>
      <c r="Q2410" s="52" t="e">
        <f>#REF!</f>
        <v>#REF!</v>
      </c>
      <c r="R2410" s="52" t="e">
        <f>#REF!</f>
        <v>#REF!</v>
      </c>
      <c r="T2410" s="52" t="e">
        <f t="shared" si="644"/>
        <v>#REF!</v>
      </c>
    </row>
    <row r="2411" spans="2:20" x14ac:dyDescent="0.25">
      <c r="B2411" s="97">
        <f t="shared" si="645"/>
        <v>50</v>
      </c>
      <c r="C2411" s="49"/>
      <c r="D2411" s="49"/>
      <c r="E2411" s="49">
        <v>5</v>
      </c>
      <c r="F2411" s="49"/>
      <c r="G2411" s="123"/>
      <c r="H2411" s="49" t="s">
        <v>138</v>
      </c>
      <c r="I2411" s="50">
        <f>I2413+I2414+I2415</f>
        <v>71900</v>
      </c>
      <c r="J2411" s="50">
        <f t="shared" ref="J2411:M2411" si="657">J2413+J2414+J2415</f>
        <v>40210</v>
      </c>
      <c r="K2411" s="50">
        <f t="shared" si="657"/>
        <v>68302</v>
      </c>
      <c r="L2411" s="50">
        <f t="shared" si="657"/>
        <v>21884</v>
      </c>
      <c r="M2411" s="50">
        <f t="shared" si="657"/>
        <v>25297</v>
      </c>
      <c r="N2411" s="50"/>
      <c r="O2411" s="50">
        <f t="shared" ref="O2411:R2411" si="658">O2412</f>
        <v>0</v>
      </c>
      <c r="P2411" s="50">
        <f t="shared" si="658"/>
        <v>0</v>
      </c>
      <c r="Q2411" s="50">
        <f t="shared" si="658"/>
        <v>0</v>
      </c>
      <c r="R2411" s="50">
        <f t="shared" si="658"/>
        <v>0</v>
      </c>
      <c r="T2411" s="50">
        <f t="shared" si="644"/>
        <v>71900</v>
      </c>
    </row>
    <row r="2412" spans="2:20" hidden="1" x14ac:dyDescent="0.25">
      <c r="B2412" s="97">
        <f t="shared" si="645"/>
        <v>51</v>
      </c>
      <c r="C2412" s="51"/>
      <c r="D2412" s="51"/>
      <c r="E2412" s="51" t="s">
        <v>60</v>
      </c>
      <c r="F2412" s="51"/>
      <c r="G2412" s="124"/>
      <c r="H2412" s="51"/>
      <c r="I2412" s="52" t="e">
        <f>#REF!+#REF!</f>
        <v>#REF!</v>
      </c>
      <c r="J2412" s="52">
        <f t="shared" ref="J2412:R2412" si="659">J2415+J2414+J2413</f>
        <v>40210</v>
      </c>
      <c r="K2412" s="52">
        <f t="shared" si="659"/>
        <v>68302</v>
      </c>
      <c r="L2412" s="52">
        <f t="shared" si="659"/>
        <v>21884</v>
      </c>
      <c r="M2412" s="52">
        <f t="shared" si="659"/>
        <v>25297</v>
      </c>
      <c r="N2412" s="52"/>
      <c r="O2412" s="52">
        <f t="shared" si="659"/>
        <v>0</v>
      </c>
      <c r="P2412" s="52">
        <f t="shared" si="659"/>
        <v>0</v>
      </c>
      <c r="Q2412" s="52">
        <f t="shared" si="659"/>
        <v>0</v>
      </c>
      <c r="R2412" s="52">
        <f t="shared" si="659"/>
        <v>0</v>
      </c>
      <c r="T2412" s="52" t="e">
        <f t="shared" si="644"/>
        <v>#REF!</v>
      </c>
    </row>
    <row r="2413" spans="2:20" x14ac:dyDescent="0.25">
      <c r="B2413" s="97">
        <f t="shared" si="645"/>
        <v>52</v>
      </c>
      <c r="C2413" s="29"/>
      <c r="D2413" s="29"/>
      <c r="E2413" s="29"/>
      <c r="F2413" s="53" t="s">
        <v>541</v>
      </c>
      <c r="G2413" s="125">
        <v>610</v>
      </c>
      <c r="H2413" s="29" t="s">
        <v>338</v>
      </c>
      <c r="I2413" s="15">
        <v>36960</v>
      </c>
      <c r="J2413" s="15">
        <v>20860</v>
      </c>
      <c r="K2413" s="15">
        <f>31320+20+3222</f>
        <v>34562</v>
      </c>
      <c r="L2413" s="15">
        <v>11267</v>
      </c>
      <c r="M2413" s="15">
        <v>12230</v>
      </c>
      <c r="N2413" s="15"/>
      <c r="O2413" s="15"/>
      <c r="P2413" s="15"/>
      <c r="Q2413" s="15"/>
      <c r="R2413" s="15"/>
      <c r="T2413" s="15">
        <f t="shared" si="644"/>
        <v>36960</v>
      </c>
    </row>
    <row r="2414" spans="2:20" x14ac:dyDescent="0.25">
      <c r="B2414" s="97">
        <f t="shared" si="645"/>
        <v>53</v>
      </c>
      <c r="C2414" s="29"/>
      <c r="D2414" s="29"/>
      <c r="E2414" s="29"/>
      <c r="F2414" s="53" t="s">
        <v>541</v>
      </c>
      <c r="G2414" s="125">
        <v>620</v>
      </c>
      <c r="H2414" s="29" t="s">
        <v>313</v>
      </c>
      <c r="I2414" s="15">
        <v>12950</v>
      </c>
      <c r="J2414" s="15">
        <v>7300</v>
      </c>
      <c r="K2414" s="15">
        <f>10960+1130</f>
        <v>12090</v>
      </c>
      <c r="L2414" s="15">
        <v>3791</v>
      </c>
      <c r="M2414" s="15">
        <v>4305</v>
      </c>
      <c r="N2414" s="15"/>
      <c r="O2414" s="15"/>
      <c r="P2414" s="15"/>
      <c r="Q2414" s="15"/>
      <c r="R2414" s="15"/>
      <c r="T2414" s="15">
        <f t="shared" si="644"/>
        <v>12950</v>
      </c>
    </row>
    <row r="2415" spans="2:20" x14ac:dyDescent="0.25">
      <c r="B2415" s="97">
        <f t="shared" si="645"/>
        <v>54</v>
      </c>
      <c r="C2415" s="29"/>
      <c r="D2415" s="29"/>
      <c r="E2415" s="29"/>
      <c r="F2415" s="53" t="s">
        <v>541</v>
      </c>
      <c r="G2415" s="125">
        <v>630</v>
      </c>
      <c r="H2415" s="29" t="s">
        <v>303</v>
      </c>
      <c r="I2415" s="15">
        <f>SUM(I2416:I2419)</f>
        <v>21990</v>
      </c>
      <c r="J2415" s="15">
        <f t="shared" ref="J2415:M2415" si="660">SUM(J2416:J2419)</f>
        <v>12050</v>
      </c>
      <c r="K2415" s="15">
        <f t="shared" si="660"/>
        <v>21650</v>
      </c>
      <c r="L2415" s="15">
        <f t="shared" si="660"/>
        <v>6826</v>
      </c>
      <c r="M2415" s="15">
        <f t="shared" si="660"/>
        <v>8762</v>
      </c>
      <c r="N2415" s="15"/>
      <c r="O2415" s="15"/>
      <c r="P2415" s="15"/>
      <c r="Q2415" s="15"/>
      <c r="R2415" s="15"/>
      <c r="T2415" s="15">
        <f t="shared" si="644"/>
        <v>21990</v>
      </c>
    </row>
    <row r="2416" spans="2:20" x14ac:dyDescent="0.25">
      <c r="B2416" s="97">
        <f t="shared" si="645"/>
        <v>55</v>
      </c>
      <c r="C2416" s="9"/>
      <c r="D2416" s="9"/>
      <c r="E2416" s="9"/>
      <c r="F2416" s="54" t="s">
        <v>541</v>
      </c>
      <c r="G2416" s="126">
        <v>632</v>
      </c>
      <c r="H2416" s="9" t="s">
        <v>314</v>
      </c>
      <c r="I2416" s="10">
        <v>10050</v>
      </c>
      <c r="J2416" s="10">
        <v>7450</v>
      </c>
      <c r="K2416" s="10">
        <v>10050</v>
      </c>
      <c r="L2416" s="10">
        <v>5022</v>
      </c>
      <c r="M2416" s="10">
        <v>6430</v>
      </c>
      <c r="N2416" s="10"/>
      <c r="O2416" s="10"/>
      <c r="P2416" s="10"/>
      <c r="Q2416" s="10"/>
      <c r="R2416" s="10"/>
      <c r="T2416" s="10">
        <f t="shared" si="644"/>
        <v>10050</v>
      </c>
    </row>
    <row r="2417" spans="2:20" x14ac:dyDescent="0.25">
      <c r="B2417" s="97">
        <f t="shared" si="645"/>
        <v>56</v>
      </c>
      <c r="C2417" s="9"/>
      <c r="D2417" s="9"/>
      <c r="E2417" s="9"/>
      <c r="F2417" s="54" t="s">
        <v>541</v>
      </c>
      <c r="G2417" s="126">
        <v>633</v>
      </c>
      <c r="H2417" s="9" t="s">
        <v>305</v>
      </c>
      <c r="I2417" s="10">
        <v>1100</v>
      </c>
      <c r="J2417" s="10">
        <v>600</v>
      </c>
      <c r="K2417" s="10">
        <v>1100</v>
      </c>
      <c r="L2417" s="10">
        <v>60</v>
      </c>
      <c r="M2417" s="10">
        <v>30</v>
      </c>
      <c r="N2417" s="10"/>
      <c r="O2417" s="10"/>
      <c r="P2417" s="10"/>
      <c r="Q2417" s="10"/>
      <c r="R2417" s="10"/>
      <c r="T2417" s="10">
        <f t="shared" si="644"/>
        <v>1100</v>
      </c>
    </row>
    <row r="2418" spans="2:20" x14ac:dyDescent="0.25">
      <c r="B2418" s="97">
        <f t="shared" si="645"/>
        <v>57</v>
      </c>
      <c r="C2418" s="9"/>
      <c r="D2418" s="9"/>
      <c r="E2418" s="9"/>
      <c r="F2418" s="54" t="s">
        <v>541</v>
      </c>
      <c r="G2418" s="126">
        <v>635</v>
      </c>
      <c r="H2418" s="9" t="s">
        <v>320</v>
      </c>
      <c r="I2418" s="10">
        <v>5000</v>
      </c>
      <c r="J2418" s="10">
        <v>1500</v>
      </c>
      <c r="K2418" s="10">
        <v>5000</v>
      </c>
      <c r="L2418" s="10">
        <v>128</v>
      </c>
      <c r="M2418" s="10">
        <v>260</v>
      </c>
      <c r="N2418" s="10"/>
      <c r="O2418" s="10"/>
      <c r="P2418" s="10"/>
      <c r="Q2418" s="10"/>
      <c r="R2418" s="10"/>
      <c r="T2418" s="10">
        <f t="shared" si="644"/>
        <v>5000</v>
      </c>
    </row>
    <row r="2419" spans="2:20" x14ac:dyDescent="0.25">
      <c r="B2419" s="97">
        <f t="shared" si="645"/>
        <v>58</v>
      </c>
      <c r="C2419" s="9"/>
      <c r="D2419" s="9"/>
      <c r="E2419" s="9"/>
      <c r="F2419" s="54" t="s">
        <v>541</v>
      </c>
      <c r="G2419" s="126">
        <v>637</v>
      </c>
      <c r="H2419" s="9" t="s">
        <v>308</v>
      </c>
      <c r="I2419" s="10">
        <v>5840</v>
      </c>
      <c r="J2419" s="10">
        <v>2500</v>
      </c>
      <c r="K2419" s="10">
        <v>5500</v>
      </c>
      <c r="L2419" s="10">
        <v>1616</v>
      </c>
      <c r="M2419" s="10">
        <v>2042</v>
      </c>
      <c r="N2419" s="10"/>
      <c r="O2419" s="10"/>
      <c r="P2419" s="10"/>
      <c r="Q2419" s="10"/>
      <c r="R2419" s="10"/>
      <c r="T2419" s="10">
        <f t="shared" si="644"/>
        <v>5840</v>
      </c>
    </row>
    <row r="2420" spans="2:20" ht="15.75" x14ac:dyDescent="0.25">
      <c r="B2420" s="97">
        <f t="shared" si="645"/>
        <v>59</v>
      </c>
      <c r="C2420" s="45">
        <v>5</v>
      </c>
      <c r="D2420" s="293" t="s">
        <v>639</v>
      </c>
      <c r="E2420" s="294"/>
      <c r="F2420" s="294"/>
      <c r="G2420" s="294"/>
      <c r="H2420" s="295"/>
      <c r="I2420" s="46">
        <f>I2421+I2434+I2454</f>
        <v>554151</v>
      </c>
      <c r="J2420" s="46">
        <f>J2454+J2434+J2421</f>
        <v>501285</v>
      </c>
      <c r="K2420" s="46">
        <f>K2454+K2434+K2421</f>
        <v>519385</v>
      </c>
      <c r="L2420" s="46">
        <f>L2454+L2434+L2421</f>
        <v>431891.85</v>
      </c>
      <c r="M2420" s="46">
        <f>M2454+M2434+M2421</f>
        <v>386770</v>
      </c>
      <c r="N2420" s="46"/>
      <c r="O2420" s="46">
        <f>O2454+O2434+O2421</f>
        <v>0</v>
      </c>
      <c r="P2420" s="46">
        <f>P2454+P2434+P2421</f>
        <v>10700</v>
      </c>
      <c r="Q2420" s="46">
        <f>Q2454+Q2434+Q2421</f>
        <v>0</v>
      </c>
      <c r="R2420" s="46">
        <f>R2454+R2434+R2421</f>
        <v>980</v>
      </c>
      <c r="T2420" s="46">
        <f t="shared" si="644"/>
        <v>554151</v>
      </c>
    </row>
    <row r="2421" spans="2:20" x14ac:dyDescent="0.25">
      <c r="B2421" s="97">
        <f t="shared" si="645"/>
        <v>60</v>
      </c>
      <c r="C2421" s="47"/>
      <c r="D2421" s="47">
        <v>1</v>
      </c>
      <c r="E2421" s="296" t="s">
        <v>640</v>
      </c>
      <c r="F2421" s="294"/>
      <c r="G2421" s="294"/>
      <c r="H2421" s="295"/>
      <c r="I2421" s="48">
        <f>I2424+I2429</f>
        <v>8231</v>
      </c>
      <c r="J2421" s="48">
        <f t="shared" ref="J2421:M2422" si="661">J2422</f>
        <v>8180</v>
      </c>
      <c r="K2421" s="48">
        <f t="shared" si="661"/>
        <v>8180</v>
      </c>
      <c r="L2421" s="48">
        <f t="shared" si="661"/>
        <v>7693</v>
      </c>
      <c r="M2421" s="48">
        <f t="shared" si="661"/>
        <v>5293</v>
      </c>
      <c r="N2421" s="48"/>
      <c r="O2421" s="48">
        <f t="shared" ref="O2421:R2422" si="662">O2422</f>
        <v>0</v>
      </c>
      <c r="P2421" s="48">
        <f t="shared" si="662"/>
        <v>0</v>
      </c>
      <c r="Q2421" s="48">
        <f t="shared" si="662"/>
        <v>0</v>
      </c>
      <c r="R2421" s="48">
        <f t="shared" si="662"/>
        <v>0</v>
      </c>
      <c r="T2421" s="48">
        <f t="shared" si="644"/>
        <v>8231</v>
      </c>
    </row>
    <row r="2422" spans="2:20" hidden="1" x14ac:dyDescent="0.25">
      <c r="B2422" s="97">
        <f t="shared" si="645"/>
        <v>61</v>
      </c>
      <c r="C2422" s="49"/>
      <c r="D2422" s="49"/>
      <c r="E2422" s="49"/>
      <c r="F2422" s="49"/>
      <c r="G2422" s="123"/>
      <c r="H2422" s="49" t="s">
        <v>12</v>
      </c>
      <c r="I2422" s="50" t="e">
        <f>#REF!+#REF!</f>
        <v>#REF!</v>
      </c>
      <c r="J2422" s="50">
        <f t="shared" si="661"/>
        <v>8180</v>
      </c>
      <c r="K2422" s="50">
        <f t="shared" si="661"/>
        <v>8180</v>
      </c>
      <c r="L2422" s="50">
        <f t="shared" si="661"/>
        <v>7693</v>
      </c>
      <c r="M2422" s="50">
        <f t="shared" si="661"/>
        <v>5293</v>
      </c>
      <c r="N2422" s="50"/>
      <c r="O2422" s="50">
        <f t="shared" si="662"/>
        <v>0</v>
      </c>
      <c r="P2422" s="50">
        <f t="shared" si="662"/>
        <v>0</v>
      </c>
      <c r="Q2422" s="50">
        <f t="shared" si="662"/>
        <v>0</v>
      </c>
      <c r="R2422" s="50">
        <f t="shared" si="662"/>
        <v>0</v>
      </c>
      <c r="T2422" s="50" t="e">
        <f t="shared" si="644"/>
        <v>#REF!</v>
      </c>
    </row>
    <row r="2423" spans="2:20" hidden="1" x14ac:dyDescent="0.25">
      <c r="B2423" s="97">
        <f t="shared" si="645"/>
        <v>62</v>
      </c>
      <c r="C2423" s="51"/>
      <c r="D2423" s="51"/>
      <c r="E2423" s="51" t="s">
        <v>60</v>
      </c>
      <c r="F2423" s="51"/>
      <c r="G2423" s="124"/>
      <c r="H2423" s="51"/>
      <c r="I2423" s="52" t="e">
        <f>#REF!+#REF!</f>
        <v>#REF!</v>
      </c>
      <c r="J2423" s="52">
        <f>J2429+J2424</f>
        <v>8180</v>
      </c>
      <c r="K2423" s="52">
        <f>K2429+K2424</f>
        <v>8180</v>
      </c>
      <c r="L2423" s="52">
        <f>L2429+L2424</f>
        <v>7693</v>
      </c>
      <c r="M2423" s="52">
        <f>M2429+M2424</f>
        <v>5293</v>
      </c>
      <c r="N2423" s="52"/>
      <c r="O2423" s="52">
        <f>O2429+O2424</f>
        <v>0</v>
      </c>
      <c r="P2423" s="52">
        <f>P2429+P2424</f>
        <v>0</v>
      </c>
      <c r="Q2423" s="52">
        <f>Q2429+Q2424</f>
        <v>0</v>
      </c>
      <c r="R2423" s="52">
        <f>R2429+R2424</f>
        <v>0</v>
      </c>
      <c r="T2423" s="52" t="e">
        <f t="shared" si="644"/>
        <v>#REF!</v>
      </c>
    </row>
    <row r="2424" spans="2:20" x14ac:dyDescent="0.25">
      <c r="B2424" s="97">
        <f t="shared" si="645"/>
        <v>63</v>
      </c>
      <c r="C2424" s="29"/>
      <c r="D2424" s="29"/>
      <c r="E2424" s="29"/>
      <c r="F2424" s="53" t="s">
        <v>641</v>
      </c>
      <c r="G2424" s="125">
        <v>630</v>
      </c>
      <c r="H2424" s="29" t="s">
        <v>303</v>
      </c>
      <c r="I2424" s="15">
        <f>SUM(I2425:I2428)</f>
        <v>6131</v>
      </c>
      <c r="J2424" s="15">
        <f t="shared" ref="J2424:M2424" si="663">SUM(J2425:J2428)</f>
        <v>6080</v>
      </c>
      <c r="K2424" s="15">
        <f t="shared" si="663"/>
        <v>6080</v>
      </c>
      <c r="L2424" s="15">
        <f t="shared" si="663"/>
        <v>5593</v>
      </c>
      <c r="M2424" s="15">
        <f t="shared" si="663"/>
        <v>5293</v>
      </c>
      <c r="N2424" s="15"/>
      <c r="O2424" s="15"/>
      <c r="P2424" s="15"/>
      <c r="Q2424" s="15"/>
      <c r="R2424" s="15"/>
      <c r="T2424" s="15">
        <f t="shared" si="644"/>
        <v>6131</v>
      </c>
    </row>
    <row r="2425" spans="2:20" x14ac:dyDescent="0.25">
      <c r="B2425" s="97">
        <f t="shared" si="645"/>
        <v>64</v>
      </c>
      <c r="C2425" s="9"/>
      <c r="D2425" s="9"/>
      <c r="E2425" s="9"/>
      <c r="F2425" s="54" t="s">
        <v>641</v>
      </c>
      <c r="G2425" s="126">
        <v>633</v>
      </c>
      <c r="H2425" s="9" t="s">
        <v>305</v>
      </c>
      <c r="I2425" s="10">
        <f>5700-19</f>
        <v>5681</v>
      </c>
      <c r="J2425" s="10">
        <v>5630</v>
      </c>
      <c r="K2425" s="10">
        <v>4280</v>
      </c>
      <c r="L2425" s="10">
        <f>2109+120</f>
        <v>2229</v>
      </c>
      <c r="M2425" s="10">
        <v>1712</v>
      </c>
      <c r="N2425" s="10"/>
      <c r="O2425" s="10"/>
      <c r="P2425" s="10"/>
      <c r="Q2425" s="10"/>
      <c r="R2425" s="10"/>
      <c r="T2425" s="10">
        <f t="shared" si="644"/>
        <v>5681</v>
      </c>
    </row>
    <row r="2426" spans="2:20" x14ac:dyDescent="0.25">
      <c r="B2426" s="97">
        <f t="shared" si="645"/>
        <v>65</v>
      </c>
      <c r="C2426" s="9"/>
      <c r="D2426" s="9"/>
      <c r="E2426" s="9"/>
      <c r="F2426" s="54" t="s">
        <v>641</v>
      </c>
      <c r="G2426" s="126">
        <v>634</v>
      </c>
      <c r="H2426" s="9" t="s">
        <v>306</v>
      </c>
      <c r="I2426" s="10">
        <v>350</v>
      </c>
      <c r="J2426" s="10">
        <v>350</v>
      </c>
      <c r="K2426" s="10">
        <v>630</v>
      </c>
      <c r="L2426" s="10">
        <f>1442+215</f>
        <v>1657</v>
      </c>
      <c r="M2426" s="10">
        <v>2295</v>
      </c>
      <c r="N2426" s="10"/>
      <c r="O2426" s="10"/>
      <c r="P2426" s="10"/>
      <c r="Q2426" s="10"/>
      <c r="R2426" s="10"/>
      <c r="T2426" s="10">
        <f t="shared" si="644"/>
        <v>350</v>
      </c>
    </row>
    <row r="2427" spans="2:20" x14ac:dyDescent="0.25">
      <c r="B2427" s="97">
        <f t="shared" si="645"/>
        <v>66</v>
      </c>
      <c r="C2427" s="9"/>
      <c r="D2427" s="9"/>
      <c r="E2427" s="9"/>
      <c r="F2427" s="54" t="s">
        <v>641</v>
      </c>
      <c r="G2427" s="126">
        <v>636</v>
      </c>
      <c r="H2427" s="9" t="s">
        <v>642</v>
      </c>
      <c r="I2427" s="10">
        <v>0</v>
      </c>
      <c r="J2427" s="10"/>
      <c r="K2427" s="10"/>
      <c r="L2427" s="10">
        <v>10</v>
      </c>
      <c r="M2427" s="10"/>
      <c r="N2427" s="10"/>
      <c r="O2427" s="10"/>
      <c r="P2427" s="10"/>
      <c r="Q2427" s="10"/>
      <c r="R2427" s="10"/>
      <c r="T2427" s="10">
        <f t="shared" ref="T2427:T2490" si="664">I2427+N2427</f>
        <v>0</v>
      </c>
    </row>
    <row r="2428" spans="2:20" x14ac:dyDescent="0.25">
      <c r="B2428" s="97">
        <f t="shared" si="645"/>
        <v>67</v>
      </c>
      <c r="C2428" s="9"/>
      <c r="D2428" s="9"/>
      <c r="E2428" s="9"/>
      <c r="F2428" s="54" t="s">
        <v>641</v>
      </c>
      <c r="G2428" s="126">
        <v>637</v>
      </c>
      <c r="H2428" s="9" t="s">
        <v>308</v>
      </c>
      <c r="I2428" s="10">
        <v>100</v>
      </c>
      <c r="J2428" s="10">
        <v>100</v>
      </c>
      <c r="K2428" s="10">
        <v>1170</v>
      </c>
      <c r="L2428" s="10">
        <f>1474+223</f>
        <v>1697</v>
      </c>
      <c r="M2428" s="10">
        <v>1286</v>
      </c>
      <c r="N2428" s="10"/>
      <c r="O2428" s="10"/>
      <c r="P2428" s="10"/>
      <c r="Q2428" s="10"/>
      <c r="R2428" s="10"/>
      <c r="T2428" s="10">
        <f t="shared" si="664"/>
        <v>100</v>
      </c>
    </row>
    <row r="2429" spans="2:20" x14ac:dyDescent="0.25">
      <c r="B2429" s="97">
        <f t="shared" si="645"/>
        <v>68</v>
      </c>
      <c r="C2429" s="29"/>
      <c r="D2429" s="29"/>
      <c r="E2429" s="29"/>
      <c r="F2429" s="53" t="s">
        <v>343</v>
      </c>
      <c r="G2429" s="125">
        <v>640</v>
      </c>
      <c r="H2429" s="29" t="s">
        <v>315</v>
      </c>
      <c r="I2429" s="15">
        <f>I2430</f>
        <v>2100</v>
      </c>
      <c r="J2429" s="15">
        <f t="shared" ref="J2429:M2429" si="665">J2430</f>
        <v>2100</v>
      </c>
      <c r="K2429" s="15">
        <f t="shared" si="665"/>
        <v>2100</v>
      </c>
      <c r="L2429" s="15">
        <f t="shared" si="665"/>
        <v>2100</v>
      </c>
      <c r="M2429" s="15">
        <f t="shared" si="665"/>
        <v>0</v>
      </c>
      <c r="N2429" s="15"/>
      <c r="O2429" s="15"/>
      <c r="P2429" s="15"/>
      <c r="Q2429" s="15"/>
      <c r="R2429" s="15"/>
      <c r="T2429" s="15">
        <f t="shared" si="664"/>
        <v>2100</v>
      </c>
    </row>
    <row r="2430" spans="2:20" x14ac:dyDescent="0.25">
      <c r="B2430" s="97">
        <f t="shared" si="645"/>
        <v>69</v>
      </c>
      <c r="C2430" s="9"/>
      <c r="D2430" s="9"/>
      <c r="E2430" s="9"/>
      <c r="F2430" s="54" t="s">
        <v>343</v>
      </c>
      <c r="G2430" s="126">
        <v>642</v>
      </c>
      <c r="H2430" s="9" t="s">
        <v>316</v>
      </c>
      <c r="I2430" s="10">
        <f>SUM(I2431:I2433)</f>
        <v>2100</v>
      </c>
      <c r="J2430" s="10">
        <f t="shared" ref="J2430:M2430" si="666">J2433+J2432+J2431</f>
        <v>2100</v>
      </c>
      <c r="K2430" s="10">
        <f t="shared" si="666"/>
        <v>2100</v>
      </c>
      <c r="L2430" s="10">
        <f t="shared" si="666"/>
        <v>2100</v>
      </c>
      <c r="M2430" s="10">
        <f t="shared" si="666"/>
        <v>0</v>
      </c>
      <c r="N2430" s="10"/>
      <c r="O2430" s="10"/>
      <c r="P2430" s="10"/>
      <c r="Q2430" s="10"/>
      <c r="R2430" s="10"/>
      <c r="T2430" s="10">
        <f t="shared" si="664"/>
        <v>2100</v>
      </c>
    </row>
    <row r="2431" spans="2:20" x14ac:dyDescent="0.25">
      <c r="B2431" s="97">
        <f t="shared" si="645"/>
        <v>70</v>
      </c>
      <c r="C2431" s="12"/>
      <c r="D2431" s="12"/>
      <c r="E2431" s="12"/>
      <c r="F2431" s="12"/>
      <c r="G2431" s="127"/>
      <c r="H2431" s="12" t="s">
        <v>925</v>
      </c>
      <c r="I2431" s="13">
        <v>370</v>
      </c>
      <c r="J2431" s="13">
        <v>370</v>
      </c>
      <c r="K2431" s="13">
        <v>370</v>
      </c>
      <c r="L2431" s="13">
        <v>370</v>
      </c>
      <c r="M2431" s="13">
        <v>0</v>
      </c>
      <c r="N2431" s="13"/>
      <c r="O2431" s="13"/>
      <c r="P2431" s="13"/>
      <c r="Q2431" s="13"/>
      <c r="R2431" s="13"/>
      <c r="T2431" s="13">
        <f t="shared" si="664"/>
        <v>370</v>
      </c>
    </row>
    <row r="2432" spans="2:20" x14ac:dyDescent="0.25">
      <c r="B2432" s="97">
        <f t="shared" si="645"/>
        <v>71</v>
      </c>
      <c r="C2432" s="12"/>
      <c r="D2432" s="12"/>
      <c r="E2432" s="12"/>
      <c r="F2432" s="12"/>
      <c r="G2432" s="127"/>
      <c r="H2432" s="12" t="s">
        <v>926</v>
      </c>
      <c r="I2432" s="13">
        <v>1500</v>
      </c>
      <c r="J2432" s="13">
        <v>1500</v>
      </c>
      <c r="K2432" s="13">
        <v>1500</v>
      </c>
      <c r="L2432" s="13">
        <v>1500</v>
      </c>
      <c r="M2432" s="13">
        <v>0</v>
      </c>
      <c r="N2432" s="13"/>
      <c r="O2432" s="13"/>
      <c r="P2432" s="13"/>
      <c r="Q2432" s="13"/>
      <c r="R2432" s="13"/>
      <c r="T2432" s="13">
        <f t="shared" si="664"/>
        <v>1500</v>
      </c>
    </row>
    <row r="2433" spans="2:20" x14ac:dyDescent="0.25">
      <c r="B2433" s="97">
        <f t="shared" si="645"/>
        <v>72</v>
      </c>
      <c r="C2433" s="12"/>
      <c r="D2433" s="12"/>
      <c r="E2433" s="12"/>
      <c r="F2433" s="12"/>
      <c r="G2433" s="127"/>
      <c r="H2433" s="12" t="s">
        <v>927</v>
      </c>
      <c r="I2433" s="13">
        <v>230</v>
      </c>
      <c r="J2433" s="13">
        <v>230</v>
      </c>
      <c r="K2433" s="13">
        <v>230</v>
      </c>
      <c r="L2433" s="13">
        <v>230</v>
      </c>
      <c r="M2433" s="13">
        <v>0</v>
      </c>
      <c r="N2433" s="13"/>
      <c r="O2433" s="13"/>
      <c r="P2433" s="13"/>
      <c r="Q2433" s="13"/>
      <c r="R2433" s="13"/>
      <c r="T2433" s="13">
        <f t="shared" si="664"/>
        <v>230</v>
      </c>
    </row>
    <row r="2434" spans="2:20" x14ac:dyDescent="0.25">
      <c r="B2434" s="97">
        <f t="shared" si="645"/>
        <v>73</v>
      </c>
      <c r="C2434" s="47"/>
      <c r="D2434" s="47">
        <v>2</v>
      </c>
      <c r="E2434" s="296" t="s">
        <v>643</v>
      </c>
      <c r="F2434" s="294"/>
      <c r="G2434" s="294"/>
      <c r="H2434" s="295"/>
      <c r="I2434" s="48">
        <f>I2439</f>
        <v>523920</v>
      </c>
      <c r="J2434" s="48">
        <f t="shared" ref="J2434:R2434" si="667">J2439</f>
        <v>473380</v>
      </c>
      <c r="K2434" s="48">
        <f t="shared" si="667"/>
        <v>490480</v>
      </c>
      <c r="L2434" s="48">
        <f>L2439+L2438</f>
        <v>406100.12</v>
      </c>
      <c r="M2434" s="48">
        <f t="shared" si="667"/>
        <v>363557</v>
      </c>
      <c r="N2434" s="48"/>
      <c r="O2434" s="48">
        <f t="shared" si="667"/>
        <v>0</v>
      </c>
      <c r="P2434" s="48">
        <f t="shared" si="667"/>
        <v>10700</v>
      </c>
      <c r="Q2434" s="48">
        <f t="shared" si="667"/>
        <v>0</v>
      </c>
      <c r="R2434" s="48">
        <f t="shared" si="667"/>
        <v>980</v>
      </c>
      <c r="T2434" s="48">
        <f t="shared" si="664"/>
        <v>523920</v>
      </c>
    </row>
    <row r="2435" spans="2:20" hidden="1" x14ac:dyDescent="0.25">
      <c r="B2435" s="97">
        <f t="shared" si="645"/>
        <v>74</v>
      </c>
      <c r="C2435" s="49"/>
      <c r="D2435" s="49"/>
      <c r="E2435" s="49"/>
      <c r="F2435" s="49"/>
      <c r="G2435" s="123"/>
      <c r="H2435" s="49" t="s">
        <v>12</v>
      </c>
      <c r="I2435" s="50" t="e">
        <f>#REF!+#REF!</f>
        <v>#REF!</v>
      </c>
      <c r="J2435" s="50" t="e">
        <f t="shared" ref="J2435:R2435" si="668">J2436</f>
        <v>#REF!</v>
      </c>
      <c r="K2435" s="50" t="e">
        <f t="shared" si="668"/>
        <v>#REF!</v>
      </c>
      <c r="L2435" s="50" t="e">
        <f t="shared" si="668"/>
        <v>#REF!</v>
      </c>
      <c r="M2435" s="50" t="e">
        <f t="shared" si="668"/>
        <v>#REF!</v>
      </c>
      <c r="N2435" s="50"/>
      <c r="O2435" s="50" t="e">
        <f t="shared" si="668"/>
        <v>#REF!</v>
      </c>
      <c r="P2435" s="50" t="e">
        <f t="shared" si="668"/>
        <v>#REF!</v>
      </c>
      <c r="Q2435" s="50" t="e">
        <f t="shared" si="668"/>
        <v>#REF!</v>
      </c>
      <c r="R2435" s="50" t="e">
        <f t="shared" si="668"/>
        <v>#REF!</v>
      </c>
      <c r="T2435" s="50" t="e">
        <f t="shared" si="664"/>
        <v>#REF!</v>
      </c>
    </row>
    <row r="2436" spans="2:20" hidden="1" x14ac:dyDescent="0.25">
      <c r="B2436" s="97">
        <f t="shared" si="645"/>
        <v>75</v>
      </c>
      <c r="C2436" s="51"/>
      <c r="D2436" s="51"/>
      <c r="E2436" s="51" t="s">
        <v>60</v>
      </c>
      <c r="F2436" s="51"/>
      <c r="G2436" s="124"/>
      <c r="H2436" s="51"/>
      <c r="I2436" s="52" t="e">
        <f>#REF!+#REF!</f>
        <v>#REF!</v>
      </c>
      <c r="J2436" s="52" t="e">
        <f>#REF!+J2437</f>
        <v>#REF!</v>
      </c>
      <c r="K2436" s="52" t="e">
        <f>#REF!+K2437</f>
        <v>#REF!</v>
      </c>
      <c r="L2436" s="52" t="e">
        <f>#REF!+L2437</f>
        <v>#REF!</v>
      </c>
      <c r="M2436" s="52" t="e">
        <f>#REF!+M2437</f>
        <v>#REF!</v>
      </c>
      <c r="N2436" s="52"/>
      <c r="O2436" s="52" t="e">
        <f>#REF!+O2437</f>
        <v>#REF!</v>
      </c>
      <c r="P2436" s="52" t="e">
        <f>#REF!+P2437</f>
        <v>#REF!</v>
      </c>
      <c r="Q2436" s="52" t="e">
        <f>#REF!+Q2437</f>
        <v>#REF!</v>
      </c>
      <c r="R2436" s="52" t="e">
        <f>#REF!+R2437</f>
        <v>#REF!</v>
      </c>
      <c r="T2436" s="52" t="e">
        <f t="shared" si="664"/>
        <v>#REF!</v>
      </c>
    </row>
    <row r="2437" spans="2:20" x14ac:dyDescent="0.25">
      <c r="B2437" s="97">
        <f t="shared" si="645"/>
        <v>76</v>
      </c>
      <c r="C2437" s="29"/>
      <c r="D2437" s="29"/>
      <c r="E2437" s="29"/>
      <c r="F2437" s="53" t="s">
        <v>641</v>
      </c>
      <c r="G2437" s="125">
        <v>630</v>
      </c>
      <c r="H2437" s="29" t="s">
        <v>303</v>
      </c>
      <c r="I2437" s="15">
        <f>I2438</f>
        <v>0</v>
      </c>
      <c r="J2437" s="15">
        <f t="shared" ref="J2437:M2437" si="669">J2438</f>
        <v>0</v>
      </c>
      <c r="K2437" s="15">
        <f t="shared" si="669"/>
        <v>0</v>
      </c>
      <c r="L2437" s="15">
        <f t="shared" si="669"/>
        <v>6638.12</v>
      </c>
      <c r="M2437" s="15">
        <f t="shared" si="669"/>
        <v>0</v>
      </c>
      <c r="N2437" s="15"/>
      <c r="O2437" s="15"/>
      <c r="P2437" s="15"/>
      <c r="Q2437" s="15"/>
      <c r="R2437" s="15"/>
      <c r="T2437" s="15">
        <f t="shared" si="664"/>
        <v>0</v>
      </c>
    </row>
    <row r="2438" spans="2:20" x14ac:dyDescent="0.25">
      <c r="B2438" s="97">
        <f t="shared" si="645"/>
        <v>77</v>
      </c>
      <c r="C2438" s="9"/>
      <c r="D2438" s="9"/>
      <c r="E2438" s="9"/>
      <c r="F2438" s="54" t="s">
        <v>641</v>
      </c>
      <c r="G2438" s="126">
        <v>637</v>
      </c>
      <c r="H2438" s="9" t="s">
        <v>308</v>
      </c>
      <c r="I2438" s="10">
        <v>0</v>
      </c>
      <c r="J2438" s="10">
        <v>0</v>
      </c>
      <c r="K2438" s="10"/>
      <c r="L2438" s="10">
        <v>6638.12</v>
      </c>
      <c r="M2438" s="10">
        <v>0</v>
      </c>
      <c r="N2438" s="10"/>
      <c r="O2438" s="10"/>
      <c r="P2438" s="10"/>
      <c r="Q2438" s="10"/>
      <c r="R2438" s="10"/>
      <c r="T2438" s="10">
        <f t="shared" si="664"/>
        <v>0</v>
      </c>
    </row>
    <row r="2439" spans="2:20" x14ac:dyDescent="0.25">
      <c r="B2439" s="97">
        <f t="shared" ref="B2439:B2450" si="670">B2438+1</f>
        <v>78</v>
      </c>
      <c r="C2439" s="49"/>
      <c r="D2439" s="49"/>
      <c r="E2439" s="49">
        <v>5</v>
      </c>
      <c r="F2439" s="49"/>
      <c r="G2439" s="123"/>
      <c r="H2439" s="49" t="s">
        <v>138</v>
      </c>
      <c r="I2439" s="50">
        <f>I2441+I2442+I2443+I2450</f>
        <v>523920</v>
      </c>
      <c r="J2439" s="50">
        <f t="shared" ref="J2439:Q2439" si="671">J2440</f>
        <v>473380</v>
      </c>
      <c r="K2439" s="50">
        <f t="shared" si="671"/>
        <v>490480</v>
      </c>
      <c r="L2439" s="50">
        <f t="shared" si="671"/>
        <v>399462</v>
      </c>
      <c r="M2439" s="50">
        <f t="shared" si="671"/>
        <v>363557</v>
      </c>
      <c r="N2439" s="50"/>
      <c r="O2439" s="50">
        <f t="shared" si="671"/>
        <v>0</v>
      </c>
      <c r="P2439" s="50">
        <f t="shared" si="671"/>
        <v>10700</v>
      </c>
      <c r="Q2439" s="50">
        <f t="shared" si="671"/>
        <v>0</v>
      </c>
      <c r="R2439" s="50">
        <f>R2440</f>
        <v>980</v>
      </c>
      <c r="T2439" s="50">
        <f t="shared" si="664"/>
        <v>523920</v>
      </c>
    </row>
    <row r="2440" spans="2:20" hidden="1" x14ac:dyDescent="0.25">
      <c r="B2440" s="97">
        <f t="shared" si="670"/>
        <v>79</v>
      </c>
      <c r="C2440" s="51"/>
      <c r="D2440" s="51"/>
      <c r="E2440" s="51" t="s">
        <v>60</v>
      </c>
      <c r="F2440" s="51"/>
      <c r="G2440" s="124"/>
      <c r="H2440" s="51"/>
      <c r="I2440" s="52">
        <f>I2441+I2442+I2443+I2450</f>
        <v>523920</v>
      </c>
      <c r="J2440" s="52">
        <f t="shared" ref="J2440:Q2440" si="672">J2451+J2450+J2443+J2442+J2441</f>
        <v>473380</v>
      </c>
      <c r="K2440" s="52">
        <f t="shared" si="672"/>
        <v>490480</v>
      </c>
      <c r="L2440" s="52">
        <f t="shared" si="672"/>
        <v>399462</v>
      </c>
      <c r="M2440" s="52">
        <f t="shared" si="672"/>
        <v>363557</v>
      </c>
      <c r="N2440" s="52"/>
      <c r="O2440" s="52">
        <f t="shared" si="672"/>
        <v>0</v>
      </c>
      <c r="P2440" s="52">
        <f t="shared" si="672"/>
        <v>10700</v>
      </c>
      <c r="Q2440" s="52">
        <f t="shared" si="672"/>
        <v>0</v>
      </c>
      <c r="R2440" s="52">
        <f>R2451+R2450+R2443+R2442+R2441+R2452</f>
        <v>980</v>
      </c>
      <c r="T2440" s="52">
        <f t="shared" si="664"/>
        <v>523920</v>
      </c>
    </row>
    <row r="2441" spans="2:20" x14ac:dyDescent="0.25">
      <c r="B2441" s="97">
        <f t="shared" si="670"/>
        <v>80</v>
      </c>
      <c r="C2441" s="29"/>
      <c r="D2441" s="29"/>
      <c r="E2441" s="29"/>
      <c r="F2441" s="53" t="s">
        <v>641</v>
      </c>
      <c r="G2441" s="125">
        <v>610</v>
      </c>
      <c r="H2441" s="29" t="s">
        <v>338</v>
      </c>
      <c r="I2441" s="15">
        <f>236353+13000</f>
        <v>249353</v>
      </c>
      <c r="J2441" s="15">
        <v>213725</v>
      </c>
      <c r="K2441" s="15">
        <v>213725</v>
      </c>
      <c r="L2441" s="15">
        <v>176080</v>
      </c>
      <c r="M2441" s="15">
        <v>144431</v>
      </c>
      <c r="N2441" s="15"/>
      <c r="O2441" s="15"/>
      <c r="P2441" s="15"/>
      <c r="Q2441" s="15"/>
      <c r="R2441" s="15"/>
      <c r="T2441" s="15">
        <f t="shared" si="664"/>
        <v>249353</v>
      </c>
    </row>
    <row r="2442" spans="2:20" x14ac:dyDescent="0.25">
      <c r="B2442" s="97">
        <f t="shared" si="670"/>
        <v>81</v>
      </c>
      <c r="C2442" s="29"/>
      <c r="D2442" s="29"/>
      <c r="E2442" s="29"/>
      <c r="F2442" s="53" t="s">
        <v>641</v>
      </c>
      <c r="G2442" s="125">
        <v>620</v>
      </c>
      <c r="H2442" s="29" t="s">
        <v>313</v>
      </c>
      <c r="I2442" s="15">
        <f>82940+4550</f>
        <v>87490</v>
      </c>
      <c r="J2442" s="15">
        <v>74800</v>
      </c>
      <c r="K2442" s="15">
        <v>74800</v>
      </c>
      <c r="L2442" s="15">
        <v>64139</v>
      </c>
      <c r="M2442" s="15">
        <v>50750</v>
      </c>
      <c r="N2442" s="15"/>
      <c r="O2442" s="15"/>
      <c r="P2442" s="15"/>
      <c r="Q2442" s="15"/>
      <c r="R2442" s="15"/>
      <c r="T2442" s="15">
        <f t="shared" si="664"/>
        <v>87490</v>
      </c>
    </row>
    <row r="2443" spans="2:20" x14ac:dyDescent="0.25">
      <c r="B2443" s="97">
        <f t="shared" si="670"/>
        <v>82</v>
      </c>
      <c r="C2443" s="29"/>
      <c r="D2443" s="29"/>
      <c r="E2443" s="29"/>
      <c r="F2443" s="53" t="s">
        <v>641</v>
      </c>
      <c r="G2443" s="125">
        <v>630</v>
      </c>
      <c r="H2443" s="29" t="s">
        <v>303</v>
      </c>
      <c r="I2443" s="15">
        <f>SUM(I2444:I2449)</f>
        <v>186527</v>
      </c>
      <c r="J2443" s="15">
        <f t="shared" ref="J2443:M2443" si="673">J2449+J2448+J2447+J2446+J2445+J2444</f>
        <v>184405</v>
      </c>
      <c r="K2443" s="15">
        <f t="shared" si="673"/>
        <v>201405</v>
      </c>
      <c r="L2443" s="15">
        <f t="shared" si="673"/>
        <v>157100</v>
      </c>
      <c r="M2443" s="15">
        <f t="shared" si="673"/>
        <v>167926</v>
      </c>
      <c r="N2443" s="15"/>
      <c r="O2443" s="15"/>
      <c r="P2443" s="15"/>
      <c r="Q2443" s="15"/>
      <c r="R2443" s="15"/>
      <c r="T2443" s="15">
        <f t="shared" si="664"/>
        <v>186527</v>
      </c>
    </row>
    <row r="2444" spans="2:20" x14ac:dyDescent="0.25">
      <c r="B2444" s="97">
        <f t="shared" si="670"/>
        <v>83</v>
      </c>
      <c r="C2444" s="9"/>
      <c r="D2444" s="9"/>
      <c r="E2444" s="9"/>
      <c r="F2444" s="54" t="s">
        <v>641</v>
      </c>
      <c r="G2444" s="126">
        <v>631</v>
      </c>
      <c r="H2444" s="9" t="s">
        <v>304</v>
      </c>
      <c r="I2444" s="10">
        <v>200</v>
      </c>
      <c r="J2444" s="10">
        <v>200</v>
      </c>
      <c r="K2444" s="10">
        <v>200</v>
      </c>
      <c r="L2444" s="10">
        <v>57</v>
      </c>
      <c r="M2444" s="10">
        <v>59</v>
      </c>
      <c r="N2444" s="10"/>
      <c r="O2444" s="10"/>
      <c r="P2444" s="10"/>
      <c r="Q2444" s="10"/>
      <c r="R2444" s="10"/>
      <c r="T2444" s="10">
        <f t="shared" si="664"/>
        <v>200</v>
      </c>
    </row>
    <row r="2445" spans="2:20" x14ac:dyDescent="0.25">
      <c r="B2445" s="97">
        <f t="shared" si="670"/>
        <v>84</v>
      </c>
      <c r="C2445" s="9"/>
      <c r="D2445" s="9"/>
      <c r="E2445" s="9"/>
      <c r="F2445" s="54" t="s">
        <v>641</v>
      </c>
      <c r="G2445" s="126">
        <v>632</v>
      </c>
      <c r="H2445" s="9" t="s">
        <v>314</v>
      </c>
      <c r="I2445" s="10">
        <v>55750</v>
      </c>
      <c r="J2445" s="10">
        <v>55750</v>
      </c>
      <c r="K2445" s="10">
        <v>55750</v>
      </c>
      <c r="L2445" s="10">
        <v>54635</v>
      </c>
      <c r="M2445" s="10">
        <v>65431</v>
      </c>
      <c r="N2445" s="10"/>
      <c r="O2445" s="10"/>
      <c r="P2445" s="10"/>
      <c r="Q2445" s="10"/>
      <c r="R2445" s="10"/>
      <c r="T2445" s="10">
        <f t="shared" si="664"/>
        <v>55750</v>
      </c>
    </row>
    <row r="2446" spans="2:20" x14ac:dyDescent="0.25">
      <c r="B2446" s="97">
        <f t="shared" si="670"/>
        <v>85</v>
      </c>
      <c r="C2446" s="9"/>
      <c r="D2446" s="9"/>
      <c r="E2446" s="9"/>
      <c r="F2446" s="54" t="s">
        <v>641</v>
      </c>
      <c r="G2446" s="126">
        <v>633</v>
      </c>
      <c r="H2446" s="9" t="s">
        <v>305</v>
      </c>
      <c r="I2446" s="10">
        <v>18960</v>
      </c>
      <c r="J2446" s="10">
        <v>18960</v>
      </c>
      <c r="K2446" s="10">
        <f>20960+5000</f>
        <v>25960</v>
      </c>
      <c r="L2446" s="10">
        <v>19229</v>
      </c>
      <c r="M2446" s="10">
        <v>24781</v>
      </c>
      <c r="N2446" s="10"/>
      <c r="O2446" s="10"/>
      <c r="P2446" s="10"/>
      <c r="Q2446" s="10"/>
      <c r="R2446" s="10"/>
      <c r="T2446" s="10">
        <f t="shared" si="664"/>
        <v>18960</v>
      </c>
    </row>
    <row r="2447" spans="2:20" x14ac:dyDescent="0.25">
      <c r="B2447" s="97">
        <f t="shared" si="670"/>
        <v>86</v>
      </c>
      <c r="C2447" s="9"/>
      <c r="D2447" s="9"/>
      <c r="E2447" s="9"/>
      <c r="F2447" s="54" t="s">
        <v>641</v>
      </c>
      <c r="G2447" s="126">
        <v>634</v>
      </c>
      <c r="H2447" s="9" t="s">
        <v>306</v>
      </c>
      <c r="I2447" s="10">
        <v>2350</v>
      </c>
      <c r="J2447" s="10">
        <v>2350</v>
      </c>
      <c r="K2447" s="10">
        <v>2350</v>
      </c>
      <c r="L2447" s="10">
        <v>1740</v>
      </c>
      <c r="M2447" s="10">
        <v>2800</v>
      </c>
      <c r="N2447" s="10"/>
      <c r="O2447" s="10"/>
      <c r="P2447" s="10"/>
      <c r="Q2447" s="10"/>
      <c r="R2447" s="10"/>
      <c r="T2447" s="10">
        <f t="shared" si="664"/>
        <v>2350</v>
      </c>
    </row>
    <row r="2448" spans="2:20" x14ac:dyDescent="0.25">
      <c r="B2448" s="97">
        <f t="shared" si="670"/>
        <v>87</v>
      </c>
      <c r="C2448" s="9"/>
      <c r="D2448" s="9"/>
      <c r="E2448" s="9"/>
      <c r="F2448" s="54" t="s">
        <v>641</v>
      </c>
      <c r="G2448" s="126">
        <v>635</v>
      </c>
      <c r="H2448" s="9" t="s">
        <v>320</v>
      </c>
      <c r="I2448" s="10">
        <v>36900</v>
      </c>
      <c r="J2448" s="10">
        <v>36900</v>
      </c>
      <c r="K2448" s="10">
        <f>36900-5000</f>
        <v>31900</v>
      </c>
      <c r="L2448" s="10">
        <v>21628</v>
      </c>
      <c r="M2448" s="10">
        <v>16282</v>
      </c>
      <c r="N2448" s="10"/>
      <c r="O2448" s="10"/>
      <c r="P2448" s="10"/>
      <c r="Q2448" s="10"/>
      <c r="R2448" s="10"/>
      <c r="T2448" s="10">
        <f t="shared" si="664"/>
        <v>36900</v>
      </c>
    </row>
    <row r="2449" spans="2:20" x14ac:dyDescent="0.25">
      <c r="B2449" s="97">
        <f t="shared" si="670"/>
        <v>88</v>
      </c>
      <c r="C2449" s="9"/>
      <c r="D2449" s="9"/>
      <c r="E2449" s="9"/>
      <c r="F2449" s="54" t="s">
        <v>641</v>
      </c>
      <c r="G2449" s="126">
        <v>637</v>
      </c>
      <c r="H2449" s="9" t="s">
        <v>308</v>
      </c>
      <c r="I2449" s="10">
        <v>72367</v>
      </c>
      <c r="J2449" s="10">
        <v>70245</v>
      </c>
      <c r="K2449" s="10">
        <f>70245+15000</f>
        <v>85245</v>
      </c>
      <c r="L2449" s="10">
        <f>59811</f>
        <v>59811</v>
      </c>
      <c r="M2449" s="10">
        <v>58573</v>
      </c>
      <c r="N2449" s="10"/>
      <c r="O2449" s="10"/>
      <c r="P2449" s="10"/>
      <c r="Q2449" s="10"/>
      <c r="R2449" s="10"/>
      <c r="T2449" s="10">
        <f t="shared" si="664"/>
        <v>72367</v>
      </c>
    </row>
    <row r="2450" spans="2:20" x14ac:dyDescent="0.25">
      <c r="B2450" s="97">
        <f t="shared" si="670"/>
        <v>89</v>
      </c>
      <c r="C2450" s="29"/>
      <c r="D2450" s="29"/>
      <c r="E2450" s="29"/>
      <c r="F2450" s="53" t="s">
        <v>641</v>
      </c>
      <c r="G2450" s="125">
        <v>640</v>
      </c>
      <c r="H2450" s="29" t="s">
        <v>315</v>
      </c>
      <c r="I2450" s="15">
        <v>550</v>
      </c>
      <c r="J2450" s="15">
        <v>450</v>
      </c>
      <c r="K2450" s="15">
        <v>550</v>
      </c>
      <c r="L2450" s="15">
        <v>2143</v>
      </c>
      <c r="M2450" s="15">
        <v>450</v>
      </c>
      <c r="N2450" s="15"/>
      <c r="O2450" s="15"/>
      <c r="P2450" s="15"/>
      <c r="Q2450" s="15"/>
      <c r="R2450" s="15"/>
      <c r="T2450" s="15">
        <f t="shared" si="664"/>
        <v>550</v>
      </c>
    </row>
    <row r="2451" spans="2:20" x14ac:dyDescent="0.25">
      <c r="B2451" s="97">
        <f t="shared" ref="B2451:B2514" si="674">B2450+1</f>
        <v>90</v>
      </c>
      <c r="C2451" s="29"/>
      <c r="D2451" s="29"/>
      <c r="E2451" s="29"/>
      <c r="F2451" s="53" t="s">
        <v>641</v>
      </c>
      <c r="G2451" s="125">
        <v>710</v>
      </c>
      <c r="H2451" s="29" t="s">
        <v>321</v>
      </c>
      <c r="I2451" s="15"/>
      <c r="J2451" s="15">
        <f t="shared" ref="J2451:R2451" si="675">J2453</f>
        <v>0</v>
      </c>
      <c r="K2451" s="15">
        <f t="shared" si="675"/>
        <v>0</v>
      </c>
      <c r="L2451" s="15">
        <f t="shared" si="675"/>
        <v>0</v>
      </c>
      <c r="M2451" s="15">
        <f t="shared" si="675"/>
        <v>0</v>
      </c>
      <c r="N2451" s="15"/>
      <c r="O2451" s="15"/>
      <c r="P2451" s="15">
        <f t="shared" si="675"/>
        <v>10700</v>
      </c>
      <c r="Q2451" s="15"/>
      <c r="R2451" s="15">
        <f t="shared" si="675"/>
        <v>0</v>
      </c>
      <c r="T2451" s="15">
        <f t="shared" si="664"/>
        <v>0</v>
      </c>
    </row>
    <row r="2452" spans="2:20" x14ac:dyDescent="0.25">
      <c r="B2452" s="97">
        <f t="shared" si="674"/>
        <v>91</v>
      </c>
      <c r="C2452" s="29"/>
      <c r="D2452" s="29"/>
      <c r="E2452" s="29"/>
      <c r="F2452" s="54" t="s">
        <v>641</v>
      </c>
      <c r="G2452" s="128">
        <v>716</v>
      </c>
      <c r="H2452" s="56" t="s">
        <v>644</v>
      </c>
      <c r="I2452" s="15"/>
      <c r="J2452" s="15"/>
      <c r="K2452" s="15"/>
      <c r="L2452" s="15"/>
      <c r="M2452" s="15"/>
      <c r="N2452" s="15"/>
      <c r="O2452" s="15"/>
      <c r="P2452" s="15"/>
      <c r="Q2452" s="15"/>
      <c r="R2452" s="16">
        <v>980</v>
      </c>
      <c r="T2452" s="16">
        <f t="shared" si="664"/>
        <v>0</v>
      </c>
    </row>
    <row r="2453" spans="2:20" x14ac:dyDescent="0.25">
      <c r="B2453" s="97">
        <f t="shared" si="674"/>
        <v>92</v>
      </c>
      <c r="C2453" s="9"/>
      <c r="D2453" s="9"/>
      <c r="E2453" s="9"/>
      <c r="F2453" s="54" t="s">
        <v>641</v>
      </c>
      <c r="G2453" s="126">
        <v>717</v>
      </c>
      <c r="H2453" s="9" t="s">
        <v>327</v>
      </c>
      <c r="I2453" s="10"/>
      <c r="J2453" s="10"/>
      <c r="K2453" s="10"/>
      <c r="L2453" s="10"/>
      <c r="M2453" s="10"/>
      <c r="N2453" s="10"/>
      <c r="O2453" s="10"/>
      <c r="P2453" s="10">
        <v>10700</v>
      </c>
      <c r="Q2453" s="10"/>
      <c r="R2453" s="10">
        <v>0</v>
      </c>
      <c r="T2453" s="10">
        <f t="shared" si="664"/>
        <v>0</v>
      </c>
    </row>
    <row r="2454" spans="2:20" x14ac:dyDescent="0.25">
      <c r="B2454" s="97">
        <f t="shared" si="674"/>
        <v>93</v>
      </c>
      <c r="C2454" s="47"/>
      <c r="D2454" s="47">
        <v>3</v>
      </c>
      <c r="E2454" s="296" t="s">
        <v>645</v>
      </c>
      <c r="F2454" s="294"/>
      <c r="G2454" s="294"/>
      <c r="H2454" s="295"/>
      <c r="I2454" s="162">
        <f>I2457+I2461</f>
        <v>22000</v>
      </c>
      <c r="J2454" s="162">
        <f t="shared" ref="J2454:M2454" si="676">J2457+J2461</f>
        <v>19725</v>
      </c>
      <c r="K2454" s="48">
        <f t="shared" si="676"/>
        <v>20725</v>
      </c>
      <c r="L2454" s="48">
        <f t="shared" si="676"/>
        <v>18098.73</v>
      </c>
      <c r="M2454" s="48">
        <f t="shared" si="676"/>
        <v>17920</v>
      </c>
      <c r="N2454" s="48"/>
      <c r="O2454" s="48">
        <f t="shared" ref="O2454:R2454" si="677">O2461+O2455</f>
        <v>0</v>
      </c>
      <c r="P2454" s="48">
        <f t="shared" si="677"/>
        <v>0</v>
      </c>
      <c r="Q2454" s="48">
        <f t="shared" si="677"/>
        <v>0</v>
      </c>
      <c r="R2454" s="48">
        <f t="shared" si="677"/>
        <v>0</v>
      </c>
      <c r="T2454" s="48">
        <f t="shared" si="664"/>
        <v>22000</v>
      </c>
    </row>
    <row r="2455" spans="2:20" hidden="1" x14ac:dyDescent="0.25">
      <c r="B2455" s="97">
        <f t="shared" si="674"/>
        <v>94</v>
      </c>
      <c r="C2455" s="49"/>
      <c r="D2455" s="49"/>
      <c r="E2455" s="49"/>
      <c r="F2455" s="49"/>
      <c r="G2455" s="123"/>
      <c r="H2455" s="49" t="s">
        <v>12</v>
      </c>
      <c r="I2455" s="50" t="e">
        <f>#REF!+#REF!</f>
        <v>#REF!</v>
      </c>
      <c r="J2455" s="50">
        <f t="shared" ref="J2455:M2456" si="678">J2456</f>
        <v>1425</v>
      </c>
      <c r="K2455" s="50">
        <f t="shared" si="678"/>
        <v>1425</v>
      </c>
      <c r="L2455" s="50">
        <f t="shared" si="678"/>
        <v>1247.73</v>
      </c>
      <c r="M2455" s="50">
        <f t="shared" si="678"/>
        <v>803</v>
      </c>
      <c r="N2455" s="50"/>
      <c r="O2455" s="50">
        <f t="shared" ref="O2455:R2456" si="679">O2456</f>
        <v>0</v>
      </c>
      <c r="P2455" s="50">
        <f t="shared" si="679"/>
        <v>0</v>
      </c>
      <c r="Q2455" s="50">
        <f t="shared" si="679"/>
        <v>0</v>
      </c>
      <c r="R2455" s="50">
        <f t="shared" si="679"/>
        <v>0</v>
      </c>
      <c r="T2455" s="50" t="e">
        <f t="shared" si="664"/>
        <v>#REF!</v>
      </c>
    </row>
    <row r="2456" spans="2:20" hidden="1" x14ac:dyDescent="0.25">
      <c r="B2456" s="97">
        <f t="shared" si="674"/>
        <v>95</v>
      </c>
      <c r="C2456" s="51"/>
      <c r="D2456" s="51"/>
      <c r="E2456" s="51" t="s">
        <v>60</v>
      </c>
      <c r="F2456" s="51"/>
      <c r="G2456" s="124"/>
      <c r="H2456" s="51"/>
      <c r="I2456" s="52" t="e">
        <f>#REF!+#REF!</f>
        <v>#REF!</v>
      </c>
      <c r="J2456" s="52">
        <f t="shared" si="678"/>
        <v>1425</v>
      </c>
      <c r="K2456" s="52">
        <f t="shared" si="678"/>
        <v>1425</v>
      </c>
      <c r="L2456" s="52">
        <f t="shared" si="678"/>
        <v>1247.73</v>
      </c>
      <c r="M2456" s="52">
        <f t="shared" si="678"/>
        <v>803</v>
      </c>
      <c r="N2456" s="52"/>
      <c r="O2456" s="52">
        <f t="shared" si="679"/>
        <v>0</v>
      </c>
      <c r="P2456" s="52">
        <f t="shared" si="679"/>
        <v>0</v>
      </c>
      <c r="Q2456" s="52">
        <f t="shared" si="679"/>
        <v>0</v>
      </c>
      <c r="R2456" s="52">
        <f t="shared" si="679"/>
        <v>0</v>
      </c>
      <c r="T2456" s="52" t="e">
        <f t="shared" si="664"/>
        <v>#REF!</v>
      </c>
    </row>
    <row r="2457" spans="2:20" x14ac:dyDescent="0.25">
      <c r="B2457" s="97">
        <f t="shared" si="674"/>
        <v>96</v>
      </c>
      <c r="C2457" s="29"/>
      <c r="D2457" s="29"/>
      <c r="E2457" s="29"/>
      <c r="F2457" s="53" t="s">
        <v>641</v>
      </c>
      <c r="G2457" s="125">
        <v>630</v>
      </c>
      <c r="H2457" s="29" t="s">
        <v>303</v>
      </c>
      <c r="I2457" s="15">
        <f>SUM(I2458:I2460)</f>
        <v>1500</v>
      </c>
      <c r="J2457" s="15">
        <f t="shared" ref="J2457:M2457" si="680">J2460+J2459+J2458</f>
        <v>1425</v>
      </c>
      <c r="K2457" s="15">
        <f t="shared" si="680"/>
        <v>1425</v>
      </c>
      <c r="L2457" s="15">
        <f t="shared" si="680"/>
        <v>1247.73</v>
      </c>
      <c r="M2457" s="15">
        <f t="shared" si="680"/>
        <v>803</v>
      </c>
      <c r="N2457" s="15"/>
      <c r="O2457" s="15"/>
      <c r="P2457" s="15"/>
      <c r="Q2457" s="15"/>
      <c r="R2457" s="15"/>
      <c r="T2457" s="15">
        <f t="shared" si="664"/>
        <v>1500</v>
      </c>
    </row>
    <row r="2458" spans="2:20" x14ac:dyDescent="0.25">
      <c r="B2458" s="97">
        <f t="shared" si="674"/>
        <v>97</v>
      </c>
      <c r="C2458" s="9"/>
      <c r="D2458" s="9"/>
      <c r="E2458" s="9"/>
      <c r="F2458" s="54" t="s">
        <v>641</v>
      </c>
      <c r="G2458" s="126">
        <v>633</v>
      </c>
      <c r="H2458" s="9" t="s">
        <v>305</v>
      </c>
      <c r="I2458" s="10">
        <v>1000</v>
      </c>
      <c r="J2458" s="10">
        <v>1000</v>
      </c>
      <c r="K2458" s="10">
        <v>1000</v>
      </c>
      <c r="L2458" s="10">
        <v>983.47</v>
      </c>
      <c r="M2458" s="10">
        <v>682</v>
      </c>
      <c r="N2458" s="10"/>
      <c r="O2458" s="10"/>
      <c r="P2458" s="10"/>
      <c r="Q2458" s="10"/>
      <c r="R2458" s="10"/>
      <c r="T2458" s="10">
        <f t="shared" si="664"/>
        <v>1000</v>
      </c>
    </row>
    <row r="2459" spans="2:20" x14ac:dyDescent="0.25">
      <c r="B2459" s="97">
        <f t="shared" si="674"/>
        <v>98</v>
      </c>
      <c r="C2459" s="9"/>
      <c r="D2459" s="9"/>
      <c r="E2459" s="9"/>
      <c r="F2459" s="54" t="s">
        <v>641</v>
      </c>
      <c r="G2459" s="126">
        <v>635</v>
      </c>
      <c r="H2459" s="9" t="s">
        <v>320</v>
      </c>
      <c r="I2459" s="10">
        <v>200</v>
      </c>
      <c r="J2459" s="10">
        <v>200</v>
      </c>
      <c r="K2459" s="10">
        <v>200</v>
      </c>
      <c r="L2459" s="10">
        <v>114.03</v>
      </c>
      <c r="M2459" s="10">
        <v>18</v>
      </c>
      <c r="N2459" s="10"/>
      <c r="O2459" s="10"/>
      <c r="P2459" s="10"/>
      <c r="Q2459" s="10"/>
      <c r="R2459" s="10"/>
      <c r="T2459" s="10">
        <f t="shared" si="664"/>
        <v>200</v>
      </c>
    </row>
    <row r="2460" spans="2:20" x14ac:dyDescent="0.25">
      <c r="B2460" s="97">
        <f t="shared" si="674"/>
        <v>99</v>
      </c>
      <c r="C2460" s="9"/>
      <c r="D2460" s="9"/>
      <c r="E2460" s="9"/>
      <c r="F2460" s="54" t="s">
        <v>641</v>
      </c>
      <c r="G2460" s="126">
        <v>637</v>
      </c>
      <c r="H2460" s="9" t="s">
        <v>308</v>
      </c>
      <c r="I2460" s="10">
        <v>300</v>
      </c>
      <c r="J2460" s="10">
        <v>225</v>
      </c>
      <c r="K2460" s="10">
        <v>225</v>
      </c>
      <c r="L2460" s="10">
        <v>150.22999999999999</v>
      </c>
      <c r="M2460" s="10">
        <v>103</v>
      </c>
      <c r="N2460" s="10"/>
      <c r="O2460" s="10"/>
      <c r="P2460" s="10"/>
      <c r="Q2460" s="10"/>
      <c r="R2460" s="10"/>
      <c r="T2460" s="10">
        <f t="shared" si="664"/>
        <v>300</v>
      </c>
    </row>
    <row r="2461" spans="2:20" x14ac:dyDescent="0.25">
      <c r="B2461" s="97">
        <f t="shared" si="674"/>
        <v>100</v>
      </c>
      <c r="C2461" s="49"/>
      <c r="D2461" s="49"/>
      <c r="E2461" s="49">
        <v>2</v>
      </c>
      <c r="F2461" s="49"/>
      <c r="G2461" s="123"/>
      <c r="H2461" s="49" t="s">
        <v>59</v>
      </c>
      <c r="I2461" s="50">
        <f>I2463</f>
        <v>20500</v>
      </c>
      <c r="J2461" s="50">
        <f t="shared" ref="J2461:M2462" si="681">J2462</f>
        <v>18300</v>
      </c>
      <c r="K2461" s="50">
        <f t="shared" si="681"/>
        <v>19300</v>
      </c>
      <c r="L2461" s="50">
        <f t="shared" si="681"/>
        <v>16851</v>
      </c>
      <c r="M2461" s="50">
        <f t="shared" si="681"/>
        <v>17117</v>
      </c>
      <c r="N2461" s="50"/>
      <c r="O2461" s="50">
        <f t="shared" ref="O2461:R2462" si="682">O2462</f>
        <v>0</v>
      </c>
      <c r="P2461" s="50">
        <f t="shared" si="682"/>
        <v>0</v>
      </c>
      <c r="Q2461" s="50">
        <f t="shared" si="682"/>
        <v>0</v>
      </c>
      <c r="R2461" s="50">
        <f t="shared" si="682"/>
        <v>0</v>
      </c>
      <c r="T2461" s="50">
        <f t="shared" si="664"/>
        <v>20500</v>
      </c>
    </row>
    <row r="2462" spans="2:20" hidden="1" x14ac:dyDescent="0.25">
      <c r="B2462" s="97">
        <f t="shared" si="674"/>
        <v>101</v>
      </c>
      <c r="C2462" s="51"/>
      <c r="D2462" s="51"/>
      <c r="E2462" s="51" t="s">
        <v>60</v>
      </c>
      <c r="F2462" s="51"/>
      <c r="G2462" s="124"/>
      <c r="H2462" s="51" t="s">
        <v>646</v>
      </c>
      <c r="I2462" s="52" t="e">
        <f>#REF!+#REF!</f>
        <v>#REF!</v>
      </c>
      <c r="J2462" s="52">
        <f t="shared" si="681"/>
        <v>18300</v>
      </c>
      <c r="K2462" s="52">
        <f t="shared" si="681"/>
        <v>19300</v>
      </c>
      <c r="L2462" s="52">
        <f t="shared" si="681"/>
        <v>16851</v>
      </c>
      <c r="M2462" s="52">
        <f t="shared" si="681"/>
        <v>17117</v>
      </c>
      <c r="N2462" s="52"/>
      <c r="O2462" s="52">
        <f t="shared" si="682"/>
        <v>0</v>
      </c>
      <c r="P2462" s="52">
        <f t="shared" si="682"/>
        <v>0</v>
      </c>
      <c r="Q2462" s="52">
        <f t="shared" si="682"/>
        <v>0</v>
      </c>
      <c r="R2462" s="52">
        <f t="shared" si="682"/>
        <v>0</v>
      </c>
      <c r="T2462" s="52" t="e">
        <f t="shared" si="664"/>
        <v>#REF!</v>
      </c>
    </row>
    <row r="2463" spans="2:20" x14ac:dyDescent="0.25">
      <c r="B2463" s="97">
        <f t="shared" si="674"/>
        <v>102</v>
      </c>
      <c r="C2463" s="29"/>
      <c r="D2463" s="29"/>
      <c r="E2463" s="29"/>
      <c r="F2463" s="53" t="s">
        <v>641</v>
      </c>
      <c r="G2463" s="125">
        <v>630</v>
      </c>
      <c r="H2463" s="29" t="s">
        <v>303</v>
      </c>
      <c r="I2463" s="15">
        <f>SUM(I2464:I2467)</f>
        <v>20500</v>
      </c>
      <c r="J2463" s="15">
        <f t="shared" ref="J2463:M2463" si="683">J2467+J2466+J2465+J2464</f>
        <v>18300</v>
      </c>
      <c r="K2463" s="15">
        <f t="shared" si="683"/>
        <v>19300</v>
      </c>
      <c r="L2463" s="15">
        <f t="shared" si="683"/>
        <v>16851</v>
      </c>
      <c r="M2463" s="15">
        <f t="shared" si="683"/>
        <v>17117</v>
      </c>
      <c r="N2463" s="15"/>
      <c r="O2463" s="15"/>
      <c r="P2463" s="15"/>
      <c r="Q2463" s="15"/>
      <c r="R2463" s="15"/>
      <c r="T2463" s="15">
        <f t="shared" si="664"/>
        <v>20500</v>
      </c>
    </row>
    <row r="2464" spans="2:20" x14ac:dyDescent="0.25">
      <c r="B2464" s="97">
        <f t="shared" si="674"/>
        <v>103</v>
      </c>
      <c r="C2464" s="9"/>
      <c r="D2464" s="9"/>
      <c r="E2464" s="9"/>
      <c r="F2464" s="54" t="s">
        <v>641</v>
      </c>
      <c r="G2464" s="126">
        <v>632</v>
      </c>
      <c r="H2464" s="9" t="s">
        <v>314</v>
      </c>
      <c r="I2464" s="10">
        <v>18000</v>
      </c>
      <c r="J2464" s="10">
        <v>17800</v>
      </c>
      <c r="K2464" s="10">
        <v>17800</v>
      </c>
      <c r="L2464" s="10">
        <v>16229</v>
      </c>
      <c r="M2464" s="10">
        <v>16987</v>
      </c>
      <c r="N2464" s="10"/>
      <c r="O2464" s="10"/>
      <c r="P2464" s="10"/>
      <c r="Q2464" s="10"/>
      <c r="R2464" s="10"/>
      <c r="T2464" s="10">
        <f t="shared" si="664"/>
        <v>18000</v>
      </c>
    </row>
    <row r="2465" spans="2:20" x14ac:dyDescent="0.25">
      <c r="B2465" s="97">
        <f t="shared" si="674"/>
        <v>104</v>
      </c>
      <c r="C2465" s="9"/>
      <c r="D2465" s="9"/>
      <c r="E2465" s="9"/>
      <c r="F2465" s="54" t="s">
        <v>641</v>
      </c>
      <c r="G2465" s="126">
        <v>633</v>
      </c>
      <c r="H2465" s="9" t="s">
        <v>305</v>
      </c>
      <c r="I2465" s="10">
        <v>100</v>
      </c>
      <c r="J2465" s="10">
        <v>100</v>
      </c>
      <c r="K2465" s="10">
        <v>100</v>
      </c>
      <c r="L2465" s="10">
        <v>99</v>
      </c>
      <c r="M2465" s="10">
        <v>0</v>
      </c>
      <c r="N2465" s="10"/>
      <c r="O2465" s="10"/>
      <c r="P2465" s="10"/>
      <c r="Q2465" s="10"/>
      <c r="R2465" s="10"/>
      <c r="T2465" s="10">
        <f t="shared" si="664"/>
        <v>100</v>
      </c>
    </row>
    <row r="2466" spans="2:20" x14ac:dyDescent="0.25">
      <c r="B2466" s="97">
        <f t="shared" si="674"/>
        <v>105</v>
      </c>
      <c r="C2466" s="9"/>
      <c r="D2466" s="9"/>
      <c r="E2466" s="9"/>
      <c r="F2466" s="54" t="s">
        <v>641</v>
      </c>
      <c r="G2466" s="126">
        <v>635</v>
      </c>
      <c r="H2466" s="9" t="s">
        <v>320</v>
      </c>
      <c r="I2466" s="10">
        <v>2000</v>
      </c>
      <c r="J2466" s="10">
        <v>300</v>
      </c>
      <c r="K2466" s="10">
        <v>1300</v>
      </c>
      <c r="L2466" s="10">
        <v>217</v>
      </c>
      <c r="M2466" s="10">
        <v>0</v>
      </c>
      <c r="N2466" s="10"/>
      <c r="O2466" s="10"/>
      <c r="P2466" s="10"/>
      <c r="Q2466" s="10"/>
      <c r="R2466" s="10"/>
      <c r="T2466" s="10">
        <f t="shared" si="664"/>
        <v>2000</v>
      </c>
    </row>
    <row r="2467" spans="2:20" x14ac:dyDescent="0.25">
      <c r="B2467" s="97">
        <f t="shared" si="674"/>
        <v>106</v>
      </c>
      <c r="C2467" s="9"/>
      <c r="D2467" s="9"/>
      <c r="E2467" s="9"/>
      <c r="F2467" s="54" t="s">
        <v>641</v>
      </c>
      <c r="G2467" s="126">
        <v>637</v>
      </c>
      <c r="H2467" s="9" t="s">
        <v>308</v>
      </c>
      <c r="I2467" s="10">
        <v>400</v>
      </c>
      <c r="J2467" s="10">
        <v>100</v>
      </c>
      <c r="K2467" s="10">
        <v>100</v>
      </c>
      <c r="L2467" s="10">
        <v>306</v>
      </c>
      <c r="M2467" s="10">
        <v>130</v>
      </c>
      <c r="N2467" s="10"/>
      <c r="O2467" s="10"/>
      <c r="P2467" s="10"/>
      <c r="Q2467" s="10"/>
      <c r="R2467" s="10"/>
      <c r="T2467" s="10">
        <f t="shared" si="664"/>
        <v>400</v>
      </c>
    </row>
    <row r="2468" spans="2:20" ht="15.75" x14ac:dyDescent="0.25">
      <c r="B2468" s="97">
        <f t="shared" si="674"/>
        <v>107</v>
      </c>
      <c r="C2468" s="45">
        <v>6</v>
      </c>
      <c r="D2468" s="293" t="s">
        <v>647</v>
      </c>
      <c r="E2468" s="294"/>
      <c r="F2468" s="294"/>
      <c r="G2468" s="294"/>
      <c r="H2468" s="295"/>
      <c r="I2468" s="46">
        <f>I2469+I2471+I2472+I2474+I2476</f>
        <v>1043220</v>
      </c>
      <c r="J2468" s="46">
        <f t="shared" ref="J2468:M2468" si="684">J2469+J2471+J2472+J2474+J2476</f>
        <v>996060</v>
      </c>
      <c r="K2468" s="46">
        <f t="shared" si="684"/>
        <v>1022525</v>
      </c>
      <c r="L2468" s="46">
        <f t="shared" si="684"/>
        <v>894721.6</v>
      </c>
      <c r="M2468" s="46">
        <f t="shared" si="684"/>
        <v>1086202</v>
      </c>
      <c r="N2468" s="46"/>
      <c r="O2468" s="46">
        <f>O2476</f>
        <v>4000</v>
      </c>
      <c r="P2468" s="46">
        <f>P2476</f>
        <v>25000</v>
      </c>
      <c r="Q2468" s="46">
        <v>0</v>
      </c>
      <c r="R2468" s="46">
        <v>0</v>
      </c>
      <c r="T2468" s="46">
        <f t="shared" si="664"/>
        <v>1043220</v>
      </c>
    </row>
    <row r="2469" spans="2:20" x14ac:dyDescent="0.25">
      <c r="B2469" s="97">
        <f t="shared" si="674"/>
        <v>108</v>
      </c>
      <c r="C2469" s="29"/>
      <c r="D2469" s="29"/>
      <c r="E2469" s="29"/>
      <c r="F2469" s="53" t="s">
        <v>648</v>
      </c>
      <c r="G2469" s="125">
        <v>630</v>
      </c>
      <c r="H2469" s="29" t="s">
        <v>303</v>
      </c>
      <c r="I2469" s="15">
        <f>I2470</f>
        <v>0</v>
      </c>
      <c r="J2469" s="15">
        <f t="shared" ref="J2469:M2469" si="685">J2470</f>
        <v>0</v>
      </c>
      <c r="K2469" s="15">
        <f t="shared" si="685"/>
        <v>0</v>
      </c>
      <c r="L2469" s="15">
        <f t="shared" si="685"/>
        <v>13248</v>
      </c>
      <c r="M2469" s="15">
        <f t="shared" si="685"/>
        <v>0</v>
      </c>
      <c r="N2469" s="15"/>
      <c r="O2469" s="15"/>
      <c r="P2469" s="15"/>
      <c r="Q2469" s="15"/>
      <c r="R2469" s="15"/>
      <c r="T2469" s="15">
        <f t="shared" si="664"/>
        <v>0</v>
      </c>
    </row>
    <row r="2470" spans="2:20" x14ac:dyDescent="0.25">
      <c r="B2470" s="97">
        <f t="shared" si="674"/>
        <v>109</v>
      </c>
      <c r="C2470" s="9"/>
      <c r="D2470" s="9"/>
      <c r="E2470" s="9"/>
      <c r="F2470" s="54" t="s">
        <v>648</v>
      </c>
      <c r="G2470" s="126">
        <v>637</v>
      </c>
      <c r="H2470" s="9" t="s">
        <v>308</v>
      </c>
      <c r="I2470" s="10">
        <v>0</v>
      </c>
      <c r="J2470" s="10">
        <v>0</v>
      </c>
      <c r="K2470" s="10">
        <v>0</v>
      </c>
      <c r="L2470" s="10">
        <v>13248</v>
      </c>
      <c r="M2470" s="10">
        <v>0</v>
      </c>
      <c r="N2470" s="10"/>
      <c r="O2470" s="10"/>
      <c r="P2470" s="10"/>
      <c r="Q2470" s="10"/>
      <c r="R2470" s="10"/>
      <c r="T2470" s="10">
        <f t="shared" si="664"/>
        <v>0</v>
      </c>
    </row>
    <row r="2471" spans="2:20" x14ac:dyDescent="0.25">
      <c r="B2471" s="97">
        <f t="shared" si="674"/>
        <v>110</v>
      </c>
      <c r="C2471" s="29"/>
      <c r="D2471" s="29"/>
      <c r="E2471" s="29"/>
      <c r="F2471" s="53" t="s">
        <v>641</v>
      </c>
      <c r="G2471" s="125">
        <v>620</v>
      </c>
      <c r="H2471" s="29" t="s">
        <v>313</v>
      </c>
      <c r="I2471" s="15">
        <v>760</v>
      </c>
      <c r="J2471" s="15">
        <v>760</v>
      </c>
      <c r="K2471" s="15">
        <v>760</v>
      </c>
      <c r="L2471" s="15">
        <v>939.6</v>
      </c>
      <c r="M2471" s="15">
        <v>255</v>
      </c>
      <c r="N2471" s="15"/>
      <c r="O2471" s="15"/>
      <c r="P2471" s="15"/>
      <c r="Q2471" s="15"/>
      <c r="R2471" s="15"/>
      <c r="T2471" s="15">
        <f t="shared" si="664"/>
        <v>760</v>
      </c>
    </row>
    <row r="2472" spans="2:20" x14ac:dyDescent="0.25">
      <c r="B2472" s="97">
        <f t="shared" si="674"/>
        <v>111</v>
      </c>
      <c r="C2472" s="29"/>
      <c r="D2472" s="29"/>
      <c r="E2472" s="29"/>
      <c r="F2472" s="53" t="s">
        <v>641</v>
      </c>
      <c r="G2472" s="125">
        <v>630</v>
      </c>
      <c r="H2472" s="29" t="s">
        <v>303</v>
      </c>
      <c r="I2472" s="15">
        <f>I2473</f>
        <v>3000</v>
      </c>
      <c r="J2472" s="15">
        <f t="shared" ref="J2472:M2472" si="686">J2473</f>
        <v>3000</v>
      </c>
      <c r="K2472" s="15">
        <f t="shared" si="686"/>
        <v>3001</v>
      </c>
      <c r="L2472" s="15">
        <f t="shared" si="686"/>
        <v>2772</v>
      </c>
      <c r="M2472" s="15">
        <f t="shared" si="686"/>
        <v>246985</v>
      </c>
      <c r="N2472" s="15"/>
      <c r="O2472" s="15"/>
      <c r="P2472" s="15"/>
      <c r="Q2472" s="15"/>
      <c r="R2472" s="15"/>
      <c r="T2472" s="15">
        <f t="shared" si="664"/>
        <v>3000</v>
      </c>
    </row>
    <row r="2473" spans="2:20" x14ac:dyDescent="0.25">
      <c r="B2473" s="97">
        <f t="shared" si="674"/>
        <v>112</v>
      </c>
      <c r="C2473" s="9"/>
      <c r="D2473" s="9"/>
      <c r="E2473" s="9"/>
      <c r="F2473" s="54" t="s">
        <v>641</v>
      </c>
      <c r="G2473" s="126">
        <v>637</v>
      </c>
      <c r="H2473" s="9" t="s">
        <v>308</v>
      </c>
      <c r="I2473" s="10">
        <v>3000</v>
      </c>
      <c r="J2473" s="10">
        <v>3000</v>
      </c>
      <c r="K2473" s="10">
        <v>3001</v>
      </c>
      <c r="L2473" s="10">
        <v>2772</v>
      </c>
      <c r="M2473" s="10">
        <f>1926+245059</f>
        <v>246985</v>
      </c>
      <c r="N2473" s="10"/>
      <c r="O2473" s="10"/>
      <c r="P2473" s="10"/>
      <c r="Q2473" s="10"/>
      <c r="R2473" s="10"/>
      <c r="T2473" s="10">
        <f t="shared" si="664"/>
        <v>3000</v>
      </c>
    </row>
    <row r="2474" spans="2:20" x14ac:dyDescent="0.25">
      <c r="B2474" s="97">
        <f t="shared" si="674"/>
        <v>113</v>
      </c>
      <c r="C2474" s="29"/>
      <c r="D2474" s="29"/>
      <c r="E2474" s="29"/>
      <c r="F2474" s="53" t="s">
        <v>641</v>
      </c>
      <c r="G2474" s="125">
        <v>640</v>
      </c>
      <c r="H2474" s="29" t="s">
        <v>315</v>
      </c>
      <c r="I2474" s="15">
        <f>I2475</f>
        <v>12000</v>
      </c>
      <c r="J2474" s="15">
        <f t="shared" ref="J2474:M2474" si="687">J2475</f>
        <v>7000</v>
      </c>
      <c r="K2474" s="15">
        <f t="shared" si="687"/>
        <v>7400</v>
      </c>
      <c r="L2474" s="15">
        <f t="shared" si="687"/>
        <v>419</v>
      </c>
      <c r="M2474" s="15">
        <f t="shared" si="687"/>
        <v>0</v>
      </c>
      <c r="N2474" s="15"/>
      <c r="O2474" s="15"/>
      <c r="P2474" s="15"/>
      <c r="Q2474" s="15"/>
      <c r="R2474" s="15"/>
      <c r="T2474" s="15">
        <f t="shared" si="664"/>
        <v>12000</v>
      </c>
    </row>
    <row r="2475" spans="2:20" x14ac:dyDescent="0.25">
      <c r="B2475" s="97">
        <f t="shared" si="674"/>
        <v>114</v>
      </c>
      <c r="C2475" s="9"/>
      <c r="D2475" s="9"/>
      <c r="E2475" s="9"/>
      <c r="F2475" s="54" t="s">
        <v>641</v>
      </c>
      <c r="G2475" s="126">
        <v>642</v>
      </c>
      <c r="H2475" s="9" t="s">
        <v>316</v>
      </c>
      <c r="I2475" s="10">
        <v>12000</v>
      </c>
      <c r="J2475" s="10">
        <v>7000</v>
      </c>
      <c r="K2475" s="10">
        <f>7000+400</f>
        <v>7400</v>
      </c>
      <c r="L2475" s="10">
        <v>419</v>
      </c>
      <c r="M2475" s="10">
        <v>0</v>
      </c>
      <c r="N2475" s="10"/>
      <c r="O2475" s="10"/>
      <c r="P2475" s="10"/>
      <c r="Q2475" s="10"/>
      <c r="R2475" s="10"/>
      <c r="T2475" s="10">
        <f t="shared" si="664"/>
        <v>12000</v>
      </c>
    </row>
    <row r="2476" spans="2:20" x14ac:dyDescent="0.25">
      <c r="B2476" s="97">
        <f t="shared" si="674"/>
        <v>115</v>
      </c>
      <c r="C2476" s="49"/>
      <c r="D2476" s="49"/>
      <c r="E2476" s="49">
        <v>5</v>
      </c>
      <c r="F2476" s="49"/>
      <c r="G2476" s="123"/>
      <c r="H2476" s="49" t="s">
        <v>138</v>
      </c>
      <c r="I2476" s="50">
        <f>I2478+I2479+I2480+I2487</f>
        <v>1027460</v>
      </c>
      <c r="J2476" s="50">
        <f t="shared" ref="J2476:R2476" si="688">J2477</f>
        <v>985300</v>
      </c>
      <c r="K2476" s="50">
        <f t="shared" si="688"/>
        <v>1011364</v>
      </c>
      <c r="L2476" s="50">
        <f t="shared" si="688"/>
        <v>877343</v>
      </c>
      <c r="M2476" s="50">
        <f t="shared" si="688"/>
        <v>838962</v>
      </c>
      <c r="N2476" s="50"/>
      <c r="O2476" s="50">
        <f t="shared" si="688"/>
        <v>4000</v>
      </c>
      <c r="P2476" s="50">
        <f t="shared" si="688"/>
        <v>25000</v>
      </c>
      <c r="Q2476" s="50">
        <f t="shared" si="688"/>
        <v>0</v>
      </c>
      <c r="R2476" s="50">
        <f t="shared" si="688"/>
        <v>0</v>
      </c>
      <c r="T2476" s="50">
        <f t="shared" si="664"/>
        <v>1027460</v>
      </c>
    </row>
    <row r="2477" spans="2:20" hidden="1" x14ac:dyDescent="0.25">
      <c r="B2477" s="97">
        <f t="shared" si="674"/>
        <v>116</v>
      </c>
      <c r="C2477" s="51"/>
      <c r="D2477" s="51"/>
      <c r="E2477" s="51" t="s">
        <v>60</v>
      </c>
      <c r="F2477" s="51"/>
      <c r="G2477" s="124"/>
      <c r="H2477" s="51"/>
      <c r="I2477" s="52" t="e">
        <f>#REF!+#REF!</f>
        <v>#REF!</v>
      </c>
      <c r="J2477" s="52">
        <f t="shared" ref="J2477:R2477" si="689">J2488+J2487+J2480+J2479+J2478</f>
        <v>985300</v>
      </c>
      <c r="K2477" s="52">
        <f t="shared" si="689"/>
        <v>1011364</v>
      </c>
      <c r="L2477" s="52">
        <f t="shared" si="689"/>
        <v>877343</v>
      </c>
      <c r="M2477" s="52">
        <f t="shared" si="689"/>
        <v>838962</v>
      </c>
      <c r="N2477" s="52"/>
      <c r="O2477" s="52">
        <f t="shared" si="689"/>
        <v>4000</v>
      </c>
      <c r="P2477" s="52">
        <f t="shared" si="689"/>
        <v>25000</v>
      </c>
      <c r="Q2477" s="52">
        <f t="shared" si="689"/>
        <v>0</v>
      </c>
      <c r="R2477" s="52">
        <f t="shared" si="689"/>
        <v>0</v>
      </c>
      <c r="T2477" s="52" t="e">
        <f t="shared" si="664"/>
        <v>#REF!</v>
      </c>
    </row>
    <row r="2478" spans="2:20" x14ac:dyDescent="0.25">
      <c r="B2478" s="97">
        <f t="shared" si="674"/>
        <v>117</v>
      </c>
      <c r="C2478" s="29"/>
      <c r="D2478" s="29"/>
      <c r="E2478" s="29"/>
      <c r="F2478" s="53" t="s">
        <v>648</v>
      </c>
      <c r="G2478" s="125">
        <v>610</v>
      </c>
      <c r="H2478" s="29" t="s">
        <v>338</v>
      </c>
      <c r="I2478" s="15">
        <v>472370</v>
      </c>
      <c r="J2478" s="15">
        <v>444455</v>
      </c>
      <c r="K2478" s="15">
        <f>450655+10300</f>
        <v>460955</v>
      </c>
      <c r="L2478" s="15">
        <v>387699</v>
      </c>
      <c r="M2478" s="15">
        <v>358070</v>
      </c>
      <c r="N2478" s="15"/>
      <c r="O2478" s="15"/>
      <c r="P2478" s="15"/>
      <c r="Q2478" s="15"/>
      <c r="R2478" s="15"/>
      <c r="T2478" s="15">
        <f t="shared" si="664"/>
        <v>472370</v>
      </c>
    </row>
    <row r="2479" spans="2:20" x14ac:dyDescent="0.25">
      <c r="B2479" s="97">
        <f t="shared" si="674"/>
        <v>118</v>
      </c>
      <c r="C2479" s="29"/>
      <c r="D2479" s="29"/>
      <c r="E2479" s="29"/>
      <c r="F2479" s="53" t="s">
        <v>648</v>
      </c>
      <c r="G2479" s="125">
        <v>620</v>
      </c>
      <c r="H2479" s="29" t="s">
        <v>313</v>
      </c>
      <c r="I2479" s="15">
        <v>165506</v>
      </c>
      <c r="J2479" s="15">
        <v>155560</v>
      </c>
      <c r="K2479" s="15">
        <f>157730+3610</f>
        <v>161340</v>
      </c>
      <c r="L2479" s="15">
        <v>139753</v>
      </c>
      <c r="M2479" s="15">
        <v>125295</v>
      </c>
      <c r="N2479" s="15"/>
      <c r="O2479" s="15"/>
      <c r="P2479" s="15"/>
      <c r="Q2479" s="15"/>
      <c r="R2479" s="15"/>
      <c r="T2479" s="15">
        <f t="shared" si="664"/>
        <v>165506</v>
      </c>
    </row>
    <row r="2480" spans="2:20" x14ac:dyDescent="0.25">
      <c r="B2480" s="97">
        <f t="shared" si="674"/>
        <v>119</v>
      </c>
      <c r="C2480" s="29"/>
      <c r="D2480" s="29"/>
      <c r="E2480" s="29"/>
      <c r="F2480" s="53" t="s">
        <v>648</v>
      </c>
      <c r="G2480" s="125">
        <v>630</v>
      </c>
      <c r="H2480" s="29" t="s">
        <v>303</v>
      </c>
      <c r="I2480" s="15">
        <f>I2481+I2482+I2483+I2484+I2485+I2486</f>
        <v>382625</v>
      </c>
      <c r="J2480" s="15">
        <f t="shared" ref="J2480:M2480" si="690">J2486+J2485+J2484+J2483+J2482+J2481</f>
        <v>382185</v>
      </c>
      <c r="K2480" s="15">
        <f t="shared" si="690"/>
        <v>381840</v>
      </c>
      <c r="L2480" s="15">
        <f t="shared" si="690"/>
        <v>345557</v>
      </c>
      <c r="M2480" s="15">
        <f t="shared" si="690"/>
        <v>353647</v>
      </c>
      <c r="N2480" s="15"/>
      <c r="O2480" s="15"/>
      <c r="P2480" s="15"/>
      <c r="Q2480" s="15"/>
      <c r="R2480" s="15"/>
      <c r="T2480" s="15">
        <f t="shared" si="664"/>
        <v>382625</v>
      </c>
    </row>
    <row r="2481" spans="2:20" x14ac:dyDescent="0.25">
      <c r="B2481" s="97">
        <f t="shared" si="674"/>
        <v>120</v>
      </c>
      <c r="C2481" s="9"/>
      <c r="D2481" s="9"/>
      <c r="E2481" s="9"/>
      <c r="F2481" s="54" t="s">
        <v>648</v>
      </c>
      <c r="G2481" s="126">
        <v>631</v>
      </c>
      <c r="H2481" s="9" t="s">
        <v>304</v>
      </c>
      <c r="I2481" s="10">
        <v>200</v>
      </c>
      <c r="J2481" s="10">
        <v>200</v>
      </c>
      <c r="K2481" s="10">
        <v>200</v>
      </c>
      <c r="L2481" s="10">
        <v>145</v>
      </c>
      <c r="M2481" s="10">
        <v>50</v>
      </c>
      <c r="N2481" s="10"/>
      <c r="O2481" s="10"/>
      <c r="P2481" s="10"/>
      <c r="Q2481" s="10"/>
      <c r="R2481" s="10"/>
      <c r="T2481" s="10">
        <f t="shared" si="664"/>
        <v>200</v>
      </c>
    </row>
    <row r="2482" spans="2:20" x14ac:dyDescent="0.25">
      <c r="B2482" s="97">
        <f t="shared" si="674"/>
        <v>121</v>
      </c>
      <c r="C2482" s="9"/>
      <c r="D2482" s="9"/>
      <c r="E2482" s="9"/>
      <c r="F2482" s="54" t="s">
        <v>648</v>
      </c>
      <c r="G2482" s="126">
        <v>632</v>
      </c>
      <c r="H2482" s="9" t="s">
        <v>314</v>
      </c>
      <c r="I2482" s="10">
        <v>93750</v>
      </c>
      <c r="J2482" s="10">
        <v>93750</v>
      </c>
      <c r="K2482" s="10">
        <v>93750</v>
      </c>
      <c r="L2482" s="10">
        <v>93994</v>
      </c>
      <c r="M2482" s="10">
        <v>87212</v>
      </c>
      <c r="N2482" s="10"/>
      <c r="O2482" s="10"/>
      <c r="P2482" s="10"/>
      <c r="Q2482" s="10"/>
      <c r="R2482" s="10"/>
      <c r="T2482" s="10">
        <f t="shared" si="664"/>
        <v>93750</v>
      </c>
    </row>
    <row r="2483" spans="2:20" x14ac:dyDescent="0.25">
      <c r="B2483" s="97">
        <f t="shared" si="674"/>
        <v>122</v>
      </c>
      <c r="C2483" s="9"/>
      <c r="D2483" s="9"/>
      <c r="E2483" s="9"/>
      <c r="F2483" s="54" t="s">
        <v>648</v>
      </c>
      <c r="G2483" s="126">
        <v>633</v>
      </c>
      <c r="H2483" s="9" t="s">
        <v>305</v>
      </c>
      <c r="I2483" s="10">
        <v>19870</v>
      </c>
      <c r="J2483" s="10">
        <v>18870</v>
      </c>
      <c r="K2483" s="10">
        <v>18870</v>
      </c>
      <c r="L2483" s="10">
        <v>20865</v>
      </c>
      <c r="M2483" s="10">
        <v>18930</v>
      </c>
      <c r="N2483" s="10"/>
      <c r="O2483" s="10"/>
      <c r="P2483" s="10"/>
      <c r="Q2483" s="10"/>
      <c r="R2483" s="10"/>
      <c r="T2483" s="10">
        <f t="shared" si="664"/>
        <v>19870</v>
      </c>
    </row>
    <row r="2484" spans="2:20" x14ac:dyDescent="0.25">
      <c r="B2484" s="97">
        <f t="shared" si="674"/>
        <v>123</v>
      </c>
      <c r="C2484" s="9"/>
      <c r="D2484" s="9"/>
      <c r="E2484" s="9"/>
      <c r="F2484" s="54" t="s">
        <v>648</v>
      </c>
      <c r="G2484" s="126">
        <v>634</v>
      </c>
      <c r="H2484" s="9" t="s">
        <v>306</v>
      </c>
      <c r="I2484" s="10">
        <v>1900</v>
      </c>
      <c r="J2484" s="10">
        <v>1900</v>
      </c>
      <c r="K2484" s="10">
        <v>1900</v>
      </c>
      <c r="L2484" s="10">
        <v>1408</v>
      </c>
      <c r="M2484" s="10">
        <v>1369</v>
      </c>
      <c r="N2484" s="10"/>
      <c r="O2484" s="10"/>
      <c r="P2484" s="10"/>
      <c r="Q2484" s="10"/>
      <c r="R2484" s="10"/>
      <c r="T2484" s="10">
        <f t="shared" si="664"/>
        <v>1900</v>
      </c>
    </row>
    <row r="2485" spans="2:20" x14ac:dyDescent="0.25">
      <c r="B2485" s="97">
        <f t="shared" si="674"/>
        <v>124</v>
      </c>
      <c r="C2485" s="9"/>
      <c r="D2485" s="9"/>
      <c r="E2485" s="9"/>
      <c r="F2485" s="54" t="s">
        <v>648</v>
      </c>
      <c r="G2485" s="126">
        <v>635</v>
      </c>
      <c r="H2485" s="9" t="s">
        <v>320</v>
      </c>
      <c r="I2485" s="10">
        <v>24250</v>
      </c>
      <c r="J2485" s="10">
        <v>24250</v>
      </c>
      <c r="K2485" s="10">
        <v>24250</v>
      </c>
      <c r="L2485" s="10">
        <v>13246</v>
      </c>
      <c r="M2485" s="10">
        <v>32864</v>
      </c>
      <c r="N2485" s="10"/>
      <c r="O2485" s="10"/>
      <c r="P2485" s="10"/>
      <c r="Q2485" s="10"/>
      <c r="R2485" s="10"/>
      <c r="T2485" s="10">
        <f t="shared" si="664"/>
        <v>24250</v>
      </c>
    </row>
    <row r="2486" spans="2:20" x14ac:dyDescent="0.25">
      <c r="B2486" s="97">
        <f t="shared" si="674"/>
        <v>125</v>
      </c>
      <c r="C2486" s="9"/>
      <c r="D2486" s="9"/>
      <c r="E2486" s="9"/>
      <c r="F2486" s="54" t="s">
        <v>648</v>
      </c>
      <c r="G2486" s="126">
        <v>637</v>
      </c>
      <c r="H2486" s="9" t="s">
        <v>308</v>
      </c>
      <c r="I2486" s="10">
        <v>242655</v>
      </c>
      <c r="J2486" s="10">
        <v>243215</v>
      </c>
      <c r="K2486" s="10">
        <f>242270+600</f>
        <v>242870</v>
      </c>
      <c r="L2486" s="10">
        <v>215899</v>
      </c>
      <c r="M2486" s="10">
        <v>213222</v>
      </c>
      <c r="N2486" s="10"/>
      <c r="O2486" s="10"/>
      <c r="P2486" s="10"/>
      <c r="Q2486" s="10"/>
      <c r="R2486" s="10"/>
      <c r="T2486" s="10">
        <f t="shared" si="664"/>
        <v>242655</v>
      </c>
    </row>
    <row r="2487" spans="2:20" x14ac:dyDescent="0.25">
      <c r="B2487" s="97">
        <f t="shared" si="674"/>
        <v>126</v>
      </c>
      <c r="C2487" s="29"/>
      <c r="D2487" s="29"/>
      <c r="E2487" s="29"/>
      <c r="F2487" s="53" t="s">
        <v>648</v>
      </c>
      <c r="G2487" s="125">
        <v>640</v>
      </c>
      <c r="H2487" s="29" t="s">
        <v>315</v>
      </c>
      <c r="I2487" s="15">
        <v>6959</v>
      </c>
      <c r="J2487" s="15">
        <v>3100</v>
      </c>
      <c r="K2487" s="15">
        <v>7229</v>
      </c>
      <c r="L2487" s="15">
        <v>4334</v>
      </c>
      <c r="M2487" s="15">
        <v>1950</v>
      </c>
      <c r="N2487" s="15"/>
      <c r="O2487" s="15"/>
      <c r="P2487" s="15"/>
      <c r="Q2487" s="15"/>
      <c r="R2487" s="15"/>
      <c r="T2487" s="15">
        <f t="shared" si="664"/>
        <v>6959</v>
      </c>
    </row>
    <row r="2488" spans="2:20" x14ac:dyDescent="0.25">
      <c r="B2488" s="97">
        <f t="shared" si="674"/>
        <v>127</v>
      </c>
      <c r="C2488" s="29"/>
      <c r="D2488" s="29"/>
      <c r="E2488" s="29"/>
      <c r="F2488" s="53" t="s">
        <v>648</v>
      </c>
      <c r="G2488" s="125">
        <v>710</v>
      </c>
      <c r="H2488" s="29" t="s">
        <v>321</v>
      </c>
      <c r="I2488" s="15"/>
      <c r="J2488" s="15"/>
      <c r="K2488" s="15"/>
      <c r="L2488" s="15"/>
      <c r="M2488" s="15"/>
      <c r="N2488" s="15"/>
      <c r="O2488" s="15">
        <f t="shared" ref="O2488:P2488" si="691">O2489</f>
        <v>4000</v>
      </c>
      <c r="P2488" s="15">
        <f t="shared" si="691"/>
        <v>25000</v>
      </c>
      <c r="Q2488" s="15"/>
      <c r="R2488" s="15"/>
      <c r="T2488" s="15">
        <f t="shared" si="664"/>
        <v>0</v>
      </c>
    </row>
    <row r="2489" spans="2:20" x14ac:dyDescent="0.25">
      <c r="B2489" s="97">
        <f t="shared" si="674"/>
        <v>128</v>
      </c>
      <c r="C2489" s="9"/>
      <c r="D2489" s="9"/>
      <c r="E2489" s="9"/>
      <c r="F2489" s="54" t="s">
        <v>648</v>
      </c>
      <c r="G2489" s="126">
        <v>717</v>
      </c>
      <c r="H2489" s="9" t="s">
        <v>327</v>
      </c>
      <c r="I2489" s="10"/>
      <c r="J2489" s="10"/>
      <c r="K2489" s="10"/>
      <c r="L2489" s="10"/>
      <c r="M2489" s="10"/>
      <c r="N2489" s="10"/>
      <c r="O2489" s="10">
        <v>4000</v>
      </c>
      <c r="P2489" s="10">
        <v>25000</v>
      </c>
      <c r="Q2489" s="10"/>
      <c r="R2489" s="10"/>
      <c r="T2489" s="10">
        <f t="shared" si="664"/>
        <v>0</v>
      </c>
    </row>
    <row r="2490" spans="2:20" ht="15.75" x14ac:dyDescent="0.25">
      <c r="B2490" s="97">
        <f t="shared" si="674"/>
        <v>129</v>
      </c>
      <c r="C2490" s="45">
        <v>7</v>
      </c>
      <c r="D2490" s="293" t="s">
        <v>649</v>
      </c>
      <c r="E2490" s="294"/>
      <c r="F2490" s="294"/>
      <c r="G2490" s="294"/>
      <c r="H2490" s="295"/>
      <c r="I2490" s="46">
        <f>I2491</f>
        <v>579460</v>
      </c>
      <c r="J2490" s="46">
        <f t="shared" ref="J2490:M2490" si="692">J2491</f>
        <v>333870</v>
      </c>
      <c r="K2490" s="46">
        <f t="shared" si="692"/>
        <v>520242</v>
      </c>
      <c r="L2490" s="46">
        <f t="shared" si="692"/>
        <v>319905</v>
      </c>
      <c r="M2490" s="46">
        <f t="shared" si="692"/>
        <v>289753</v>
      </c>
      <c r="N2490" s="46"/>
      <c r="O2490" s="46">
        <f t="shared" ref="O2490:R2490" si="693">O2491</f>
        <v>0</v>
      </c>
      <c r="P2490" s="46">
        <f t="shared" si="693"/>
        <v>0</v>
      </c>
      <c r="Q2490" s="46">
        <f t="shared" si="693"/>
        <v>0</v>
      </c>
      <c r="R2490" s="46">
        <f t="shared" si="693"/>
        <v>16554</v>
      </c>
      <c r="T2490" s="46">
        <f t="shared" si="664"/>
        <v>579460</v>
      </c>
    </row>
    <row r="2491" spans="2:20" x14ac:dyDescent="0.25">
      <c r="B2491" s="97">
        <f t="shared" si="674"/>
        <v>130</v>
      </c>
      <c r="C2491" s="49"/>
      <c r="D2491" s="49"/>
      <c r="E2491" s="49">
        <v>5</v>
      </c>
      <c r="F2491" s="49"/>
      <c r="G2491" s="123"/>
      <c r="H2491" s="49" t="s">
        <v>138</v>
      </c>
      <c r="I2491" s="50">
        <f>I2492+I2493+I2494+I2500</f>
        <v>579460</v>
      </c>
      <c r="J2491" s="50">
        <f t="shared" ref="J2491:M2491" si="694">J2492+J2493+J2494+J2500</f>
        <v>333870</v>
      </c>
      <c r="K2491" s="50">
        <f t="shared" si="694"/>
        <v>520242</v>
      </c>
      <c r="L2491" s="50">
        <f t="shared" si="694"/>
        <v>319905</v>
      </c>
      <c r="M2491" s="50">
        <f t="shared" si="694"/>
        <v>289753</v>
      </c>
      <c r="N2491" s="50"/>
      <c r="O2491" s="50">
        <v>0</v>
      </c>
      <c r="P2491" s="50">
        <v>0</v>
      </c>
      <c r="Q2491" s="50">
        <v>0</v>
      </c>
      <c r="R2491" s="50">
        <f>R2501</f>
        <v>16554</v>
      </c>
      <c r="T2491" s="50">
        <f t="shared" ref="T2491:T2541" si="695">I2491+N2491</f>
        <v>579460</v>
      </c>
    </row>
    <row r="2492" spans="2:20" x14ac:dyDescent="0.25">
      <c r="B2492" s="97">
        <f t="shared" si="674"/>
        <v>131</v>
      </c>
      <c r="C2492" s="29"/>
      <c r="D2492" s="29"/>
      <c r="E2492" s="29"/>
      <c r="F2492" s="53" t="s">
        <v>648</v>
      </c>
      <c r="G2492" s="125">
        <v>610</v>
      </c>
      <c r="H2492" s="29" t="s">
        <v>338</v>
      </c>
      <c r="I2492" s="15">
        <v>386661</v>
      </c>
      <c r="J2492" s="15">
        <v>221000</v>
      </c>
      <c r="K2492" s="15">
        <f>350510-5951</f>
        <v>344559</v>
      </c>
      <c r="L2492" s="15">
        <v>211239</v>
      </c>
      <c r="M2492" s="15">
        <v>190495</v>
      </c>
      <c r="N2492" s="15"/>
      <c r="O2492" s="15"/>
      <c r="P2492" s="15"/>
      <c r="Q2492" s="15"/>
      <c r="R2492" s="15"/>
      <c r="T2492" s="15">
        <f t="shared" si="695"/>
        <v>386661</v>
      </c>
    </row>
    <row r="2493" spans="2:20" x14ac:dyDescent="0.25">
      <c r="B2493" s="97">
        <f t="shared" si="674"/>
        <v>132</v>
      </c>
      <c r="C2493" s="29"/>
      <c r="D2493" s="29"/>
      <c r="E2493" s="29"/>
      <c r="F2493" s="53" t="s">
        <v>648</v>
      </c>
      <c r="G2493" s="125">
        <v>620</v>
      </c>
      <c r="H2493" s="29" t="s">
        <v>313</v>
      </c>
      <c r="I2493" s="15">
        <v>135680</v>
      </c>
      <c r="J2493" s="15">
        <v>77350</v>
      </c>
      <c r="K2493" s="15">
        <f>122680-2100</f>
        <v>120580</v>
      </c>
      <c r="L2493" s="15">
        <v>73369</v>
      </c>
      <c r="M2493" s="15">
        <v>66398</v>
      </c>
      <c r="N2493" s="15"/>
      <c r="O2493" s="15"/>
      <c r="P2493" s="15"/>
      <c r="Q2493" s="15"/>
      <c r="R2493" s="15"/>
      <c r="T2493" s="15">
        <f t="shared" si="695"/>
        <v>135680</v>
      </c>
    </row>
    <row r="2494" spans="2:20" x14ac:dyDescent="0.25">
      <c r="B2494" s="97">
        <f t="shared" si="674"/>
        <v>133</v>
      </c>
      <c r="C2494" s="29"/>
      <c r="D2494" s="29"/>
      <c r="E2494" s="29"/>
      <c r="F2494" s="53" t="s">
        <v>648</v>
      </c>
      <c r="G2494" s="125">
        <v>630</v>
      </c>
      <c r="H2494" s="29" t="s">
        <v>303</v>
      </c>
      <c r="I2494" s="15">
        <f>I2495+I2496+I2497+I2498+I2499</f>
        <v>55949</v>
      </c>
      <c r="J2494" s="15">
        <f t="shared" ref="J2494:M2494" si="696">J2499+J2498+J2497+J2496+J2495</f>
        <v>33320</v>
      </c>
      <c r="K2494" s="15">
        <f t="shared" si="696"/>
        <v>51263</v>
      </c>
      <c r="L2494" s="15">
        <f t="shared" si="696"/>
        <v>32486</v>
      </c>
      <c r="M2494" s="15">
        <f t="shared" si="696"/>
        <v>30080</v>
      </c>
      <c r="N2494" s="15"/>
      <c r="O2494" s="15"/>
      <c r="P2494" s="15"/>
      <c r="Q2494" s="15"/>
      <c r="R2494" s="15"/>
      <c r="T2494" s="15">
        <f t="shared" si="695"/>
        <v>55949</v>
      </c>
    </row>
    <row r="2495" spans="2:20" x14ac:dyDescent="0.25">
      <c r="B2495" s="97">
        <f t="shared" si="674"/>
        <v>134</v>
      </c>
      <c r="C2495" s="9"/>
      <c r="D2495" s="9"/>
      <c r="E2495" s="9"/>
      <c r="F2495" s="54" t="s">
        <v>648</v>
      </c>
      <c r="G2495" s="126">
        <v>632</v>
      </c>
      <c r="H2495" s="9" t="s">
        <v>314</v>
      </c>
      <c r="I2495" s="10">
        <v>700</v>
      </c>
      <c r="J2495" s="10">
        <v>700</v>
      </c>
      <c r="K2495" s="10">
        <v>700</v>
      </c>
      <c r="L2495" s="10">
        <v>679</v>
      </c>
      <c r="M2495" s="10">
        <v>650</v>
      </c>
      <c r="N2495" s="10"/>
      <c r="O2495" s="10"/>
      <c r="P2495" s="10"/>
      <c r="Q2495" s="10"/>
      <c r="R2495" s="10"/>
      <c r="T2495" s="10">
        <f t="shared" si="695"/>
        <v>700</v>
      </c>
    </row>
    <row r="2496" spans="2:20" x14ac:dyDescent="0.25">
      <c r="B2496" s="97">
        <f t="shared" si="674"/>
        <v>135</v>
      </c>
      <c r="C2496" s="9"/>
      <c r="D2496" s="9"/>
      <c r="E2496" s="9"/>
      <c r="F2496" s="54" t="s">
        <v>648</v>
      </c>
      <c r="G2496" s="126">
        <v>633</v>
      </c>
      <c r="H2496" s="9" t="s">
        <v>305</v>
      </c>
      <c r="I2496" s="10">
        <v>2700</v>
      </c>
      <c r="J2496" s="10">
        <v>2700</v>
      </c>
      <c r="K2496" s="10">
        <f>2700+500</f>
        <v>3200</v>
      </c>
      <c r="L2496" s="10">
        <v>2022</v>
      </c>
      <c r="M2496" s="10">
        <v>1600</v>
      </c>
      <c r="N2496" s="10"/>
      <c r="O2496" s="10"/>
      <c r="P2496" s="10"/>
      <c r="Q2496" s="10"/>
      <c r="R2496" s="10"/>
      <c r="T2496" s="10">
        <f t="shared" si="695"/>
        <v>2700</v>
      </c>
    </row>
    <row r="2497" spans="2:20" x14ac:dyDescent="0.25">
      <c r="B2497" s="97">
        <f t="shared" si="674"/>
        <v>136</v>
      </c>
      <c r="C2497" s="9"/>
      <c r="D2497" s="9"/>
      <c r="E2497" s="9"/>
      <c r="F2497" s="54" t="s">
        <v>648</v>
      </c>
      <c r="G2497" s="126">
        <v>634</v>
      </c>
      <c r="H2497" s="9" t="s">
        <v>306</v>
      </c>
      <c r="I2497" s="10">
        <v>4901</v>
      </c>
      <c r="J2497" s="10">
        <v>4900</v>
      </c>
      <c r="K2497" s="10">
        <v>4900</v>
      </c>
      <c r="L2497" s="10">
        <v>5287</v>
      </c>
      <c r="M2497" s="10">
        <v>4750</v>
      </c>
      <c r="N2497" s="10"/>
      <c r="O2497" s="10"/>
      <c r="P2497" s="10"/>
      <c r="Q2497" s="10"/>
      <c r="R2497" s="10"/>
      <c r="T2497" s="10">
        <f t="shared" si="695"/>
        <v>4901</v>
      </c>
    </row>
    <row r="2498" spans="2:20" x14ac:dyDescent="0.25">
      <c r="B2498" s="97">
        <f t="shared" si="674"/>
        <v>137</v>
      </c>
      <c r="C2498" s="9"/>
      <c r="D2498" s="9"/>
      <c r="E2498" s="9"/>
      <c r="F2498" s="54" t="s">
        <v>648</v>
      </c>
      <c r="G2498" s="126">
        <v>635</v>
      </c>
      <c r="H2498" s="9" t="s">
        <v>320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/>
      <c r="O2498" s="10"/>
      <c r="P2498" s="10"/>
      <c r="Q2498" s="10"/>
      <c r="R2498" s="10"/>
      <c r="T2498" s="10">
        <f t="shared" si="695"/>
        <v>0</v>
      </c>
    </row>
    <row r="2499" spans="2:20" x14ac:dyDescent="0.25">
      <c r="B2499" s="97">
        <f t="shared" si="674"/>
        <v>138</v>
      </c>
      <c r="C2499" s="9"/>
      <c r="D2499" s="9"/>
      <c r="E2499" s="9"/>
      <c r="F2499" s="54" t="s">
        <v>648</v>
      </c>
      <c r="G2499" s="126">
        <v>637</v>
      </c>
      <c r="H2499" s="9" t="s">
        <v>308</v>
      </c>
      <c r="I2499" s="10">
        <v>47648</v>
      </c>
      <c r="J2499" s="10">
        <v>25020</v>
      </c>
      <c r="K2499" s="10">
        <v>42463</v>
      </c>
      <c r="L2499" s="10">
        <v>24498</v>
      </c>
      <c r="M2499" s="10">
        <v>23080</v>
      </c>
      <c r="N2499" s="10"/>
      <c r="O2499" s="10"/>
      <c r="P2499" s="10"/>
      <c r="Q2499" s="10"/>
      <c r="R2499" s="10"/>
      <c r="T2499" s="10">
        <f t="shared" si="695"/>
        <v>47648</v>
      </c>
    </row>
    <row r="2500" spans="2:20" x14ac:dyDescent="0.25">
      <c r="B2500" s="97">
        <f t="shared" si="674"/>
        <v>139</v>
      </c>
      <c r="C2500" s="29"/>
      <c r="D2500" s="29"/>
      <c r="E2500" s="29"/>
      <c r="F2500" s="53" t="s">
        <v>648</v>
      </c>
      <c r="G2500" s="125">
        <v>640</v>
      </c>
      <c r="H2500" s="29" t="s">
        <v>315</v>
      </c>
      <c r="I2500" s="15">
        <v>1170</v>
      </c>
      <c r="J2500" s="15">
        <v>2200</v>
      </c>
      <c r="K2500" s="15">
        <f>3000+840</f>
        <v>3840</v>
      </c>
      <c r="L2500" s="15">
        <v>2811</v>
      </c>
      <c r="M2500" s="15">
        <v>2780</v>
      </c>
      <c r="N2500" s="15"/>
      <c r="O2500" s="15"/>
      <c r="P2500" s="15"/>
      <c r="Q2500" s="15"/>
      <c r="R2500" s="15"/>
      <c r="T2500" s="15">
        <f t="shared" si="695"/>
        <v>1170</v>
      </c>
    </row>
    <row r="2501" spans="2:20" x14ac:dyDescent="0.25">
      <c r="B2501" s="97">
        <f t="shared" si="674"/>
        <v>140</v>
      </c>
      <c r="C2501" s="9"/>
      <c r="D2501" s="9"/>
      <c r="E2501" s="9"/>
      <c r="F2501" s="54" t="s">
        <v>648</v>
      </c>
      <c r="G2501" s="125">
        <v>710</v>
      </c>
      <c r="H2501" s="29" t="s">
        <v>321</v>
      </c>
      <c r="I2501" s="10"/>
      <c r="J2501" s="10"/>
      <c r="K2501" s="10"/>
      <c r="L2501" s="10"/>
      <c r="M2501" s="10"/>
      <c r="N2501" s="10"/>
      <c r="O2501" s="10"/>
      <c r="P2501" s="10"/>
      <c r="Q2501" s="10"/>
      <c r="R2501" s="8">
        <f>R2502</f>
        <v>16554</v>
      </c>
      <c r="T2501" s="8">
        <f t="shared" si="695"/>
        <v>0</v>
      </c>
    </row>
    <row r="2502" spans="2:20" x14ac:dyDescent="0.25">
      <c r="B2502" s="97">
        <f t="shared" si="674"/>
        <v>141</v>
      </c>
      <c r="C2502" s="9"/>
      <c r="D2502" s="9"/>
      <c r="E2502" s="9"/>
      <c r="F2502" s="54" t="s">
        <v>648</v>
      </c>
      <c r="G2502" s="126">
        <v>714</v>
      </c>
      <c r="H2502" s="9" t="s">
        <v>732</v>
      </c>
      <c r="I2502" s="10"/>
      <c r="J2502" s="10"/>
      <c r="K2502" s="10"/>
      <c r="L2502" s="10"/>
      <c r="M2502" s="10"/>
      <c r="N2502" s="10"/>
      <c r="O2502" s="10"/>
      <c r="P2502" s="10"/>
      <c r="Q2502" s="10"/>
      <c r="R2502" s="10">
        <v>16554</v>
      </c>
      <c r="T2502" s="10">
        <f t="shared" si="695"/>
        <v>0</v>
      </c>
    </row>
    <row r="2503" spans="2:20" ht="15.75" x14ac:dyDescent="0.25">
      <c r="B2503" s="97">
        <f t="shared" si="674"/>
        <v>142</v>
      </c>
      <c r="C2503" s="45">
        <v>8</v>
      </c>
      <c r="D2503" s="293" t="s">
        <v>650</v>
      </c>
      <c r="E2503" s="294"/>
      <c r="F2503" s="294"/>
      <c r="G2503" s="294"/>
      <c r="H2503" s="295"/>
      <c r="I2503" s="46">
        <f>I2507</f>
        <v>4000</v>
      </c>
      <c r="J2503" s="46">
        <f t="shared" ref="J2503:M2507" si="697">J2504</f>
        <v>2000</v>
      </c>
      <c r="K2503" s="46">
        <f t="shared" si="697"/>
        <v>5000</v>
      </c>
      <c r="L2503" s="46">
        <f t="shared" si="697"/>
        <v>337.68</v>
      </c>
      <c r="M2503" s="46">
        <f t="shared" si="697"/>
        <v>1099.9000000000001</v>
      </c>
      <c r="N2503" s="46"/>
      <c r="O2503" s="46">
        <f t="shared" ref="O2503:R2506" si="698">O2504</f>
        <v>0</v>
      </c>
      <c r="P2503" s="46">
        <f t="shared" si="698"/>
        <v>0</v>
      </c>
      <c r="Q2503" s="46">
        <f t="shared" si="698"/>
        <v>0</v>
      </c>
      <c r="R2503" s="46">
        <f t="shared" si="698"/>
        <v>0</v>
      </c>
      <c r="T2503" s="46">
        <f t="shared" si="695"/>
        <v>4000</v>
      </c>
    </row>
    <row r="2504" spans="2:20" hidden="1" x14ac:dyDescent="0.25">
      <c r="B2504" s="97">
        <f t="shared" si="674"/>
        <v>143</v>
      </c>
      <c r="C2504" s="47"/>
      <c r="D2504" s="47" t="s">
        <v>60</v>
      </c>
      <c r="E2504" s="296"/>
      <c r="F2504" s="294"/>
      <c r="G2504" s="294"/>
      <c r="H2504" s="295"/>
      <c r="I2504" s="48" t="e">
        <f>#REF!+#REF!</f>
        <v>#REF!</v>
      </c>
      <c r="J2504" s="48">
        <f t="shared" si="697"/>
        <v>2000</v>
      </c>
      <c r="K2504" s="48">
        <f t="shared" si="697"/>
        <v>5000</v>
      </c>
      <c r="L2504" s="48">
        <f t="shared" si="697"/>
        <v>337.68</v>
      </c>
      <c r="M2504" s="48">
        <f t="shared" si="697"/>
        <v>1099.9000000000001</v>
      </c>
      <c r="N2504" s="48"/>
      <c r="O2504" s="48">
        <f t="shared" si="698"/>
        <v>0</v>
      </c>
      <c r="P2504" s="48">
        <f t="shared" si="698"/>
        <v>0</v>
      </c>
      <c r="Q2504" s="48">
        <f t="shared" si="698"/>
        <v>0</v>
      </c>
      <c r="R2504" s="48">
        <f t="shared" si="698"/>
        <v>0</v>
      </c>
      <c r="T2504" s="48" t="e">
        <f t="shared" si="695"/>
        <v>#REF!</v>
      </c>
    </row>
    <row r="2505" spans="2:20" hidden="1" x14ac:dyDescent="0.25">
      <c r="B2505" s="97">
        <f t="shared" si="674"/>
        <v>144</v>
      </c>
      <c r="C2505" s="49"/>
      <c r="D2505" s="49"/>
      <c r="E2505" s="49"/>
      <c r="F2505" s="49"/>
      <c r="G2505" s="123"/>
      <c r="H2505" s="49" t="s">
        <v>12</v>
      </c>
      <c r="I2505" s="50" t="e">
        <f>#REF!+#REF!</f>
        <v>#REF!</v>
      </c>
      <c r="J2505" s="50">
        <f t="shared" si="697"/>
        <v>2000</v>
      </c>
      <c r="K2505" s="50">
        <f t="shared" si="697"/>
        <v>5000</v>
      </c>
      <c r="L2505" s="50">
        <f t="shared" si="697"/>
        <v>337.68</v>
      </c>
      <c r="M2505" s="50">
        <f t="shared" si="697"/>
        <v>1099.9000000000001</v>
      </c>
      <c r="N2505" s="50"/>
      <c r="O2505" s="50">
        <f t="shared" si="698"/>
        <v>0</v>
      </c>
      <c r="P2505" s="50">
        <f t="shared" si="698"/>
        <v>0</v>
      </c>
      <c r="Q2505" s="50">
        <f t="shared" si="698"/>
        <v>0</v>
      </c>
      <c r="R2505" s="50">
        <f t="shared" si="698"/>
        <v>0</v>
      </c>
      <c r="T2505" s="50" t="e">
        <f t="shared" si="695"/>
        <v>#REF!</v>
      </c>
    </row>
    <row r="2506" spans="2:20" hidden="1" x14ac:dyDescent="0.25">
      <c r="B2506" s="97">
        <f t="shared" si="674"/>
        <v>145</v>
      </c>
      <c r="C2506" s="51"/>
      <c r="D2506" s="51"/>
      <c r="E2506" s="51" t="s">
        <v>60</v>
      </c>
      <c r="F2506" s="51"/>
      <c r="G2506" s="124"/>
      <c r="H2506" s="51"/>
      <c r="I2506" s="52" t="e">
        <f>#REF!+#REF!</f>
        <v>#REF!</v>
      </c>
      <c r="J2506" s="52">
        <f t="shared" si="697"/>
        <v>2000</v>
      </c>
      <c r="K2506" s="52">
        <f t="shared" si="697"/>
        <v>5000</v>
      </c>
      <c r="L2506" s="52">
        <f t="shared" si="697"/>
        <v>337.68</v>
      </c>
      <c r="M2506" s="52">
        <f t="shared" si="697"/>
        <v>1099.9000000000001</v>
      </c>
      <c r="N2506" s="52"/>
      <c r="O2506" s="52">
        <f t="shared" si="698"/>
        <v>0</v>
      </c>
      <c r="P2506" s="52">
        <f t="shared" si="698"/>
        <v>0</v>
      </c>
      <c r="Q2506" s="52">
        <f t="shared" si="698"/>
        <v>0</v>
      </c>
      <c r="R2506" s="52">
        <f t="shared" si="698"/>
        <v>0</v>
      </c>
      <c r="T2506" s="52" t="e">
        <f t="shared" si="695"/>
        <v>#REF!</v>
      </c>
    </row>
    <row r="2507" spans="2:20" x14ac:dyDescent="0.25">
      <c r="B2507" s="97">
        <f t="shared" si="674"/>
        <v>146</v>
      </c>
      <c r="C2507" s="29"/>
      <c r="D2507" s="29"/>
      <c r="E2507" s="29"/>
      <c r="F2507" s="53" t="s">
        <v>335</v>
      </c>
      <c r="G2507" s="125">
        <v>630</v>
      </c>
      <c r="H2507" s="29" t="s">
        <v>303</v>
      </c>
      <c r="I2507" s="15">
        <f>I2508</f>
        <v>4000</v>
      </c>
      <c r="J2507" s="15">
        <f t="shared" si="697"/>
        <v>2000</v>
      </c>
      <c r="K2507" s="15">
        <f t="shared" si="697"/>
        <v>5000</v>
      </c>
      <c r="L2507" s="15">
        <f t="shared" si="697"/>
        <v>337.68</v>
      </c>
      <c r="M2507" s="15">
        <f t="shared" si="697"/>
        <v>1099.9000000000001</v>
      </c>
      <c r="N2507" s="15"/>
      <c r="O2507" s="15"/>
      <c r="P2507" s="15"/>
      <c r="Q2507" s="15"/>
      <c r="R2507" s="15"/>
      <c r="T2507" s="15">
        <f t="shared" si="695"/>
        <v>4000</v>
      </c>
    </row>
    <row r="2508" spans="2:20" x14ac:dyDescent="0.25">
      <c r="B2508" s="97">
        <f t="shared" si="674"/>
        <v>147</v>
      </c>
      <c r="C2508" s="9"/>
      <c r="D2508" s="9"/>
      <c r="E2508" s="9"/>
      <c r="F2508" s="54" t="s">
        <v>335</v>
      </c>
      <c r="G2508" s="126">
        <v>637</v>
      </c>
      <c r="H2508" s="9" t="s">
        <v>308</v>
      </c>
      <c r="I2508" s="10">
        <v>4000</v>
      </c>
      <c r="J2508" s="10">
        <v>2000</v>
      </c>
      <c r="K2508" s="10">
        <v>5000</v>
      </c>
      <c r="L2508" s="10">
        <v>337.68</v>
      </c>
      <c r="M2508" s="10">
        <v>1099.9000000000001</v>
      </c>
      <c r="N2508" s="10"/>
      <c r="O2508" s="10"/>
      <c r="P2508" s="10"/>
      <c r="Q2508" s="10"/>
      <c r="R2508" s="10"/>
      <c r="T2508" s="10">
        <f t="shared" si="695"/>
        <v>4000</v>
      </c>
    </row>
    <row r="2509" spans="2:20" ht="15.75" x14ac:dyDescent="0.25">
      <c r="B2509" s="97">
        <f t="shared" si="674"/>
        <v>148</v>
      </c>
      <c r="C2509" s="45">
        <v>9</v>
      </c>
      <c r="D2509" s="293" t="s">
        <v>651</v>
      </c>
      <c r="E2509" s="294"/>
      <c r="F2509" s="294"/>
      <c r="G2509" s="294"/>
      <c r="H2509" s="295"/>
      <c r="I2509" s="46">
        <f>I2513+I2515</f>
        <v>19000</v>
      </c>
      <c r="J2509" s="46">
        <f t="shared" ref="J2509:M2511" si="699">J2510</f>
        <v>19000</v>
      </c>
      <c r="K2509" s="46">
        <f t="shared" si="699"/>
        <v>19165</v>
      </c>
      <c r="L2509" s="46">
        <f t="shared" si="699"/>
        <v>12465.46</v>
      </c>
      <c r="M2509" s="46">
        <f t="shared" si="699"/>
        <v>13356</v>
      </c>
      <c r="N2509" s="46"/>
      <c r="O2509" s="46">
        <f t="shared" ref="O2509:R2511" si="700">O2510</f>
        <v>0</v>
      </c>
      <c r="P2509" s="46">
        <f t="shared" si="700"/>
        <v>0</v>
      </c>
      <c r="Q2509" s="46">
        <f t="shared" si="700"/>
        <v>0</v>
      </c>
      <c r="R2509" s="46">
        <f t="shared" si="700"/>
        <v>0</v>
      </c>
      <c r="T2509" s="46">
        <f t="shared" si="695"/>
        <v>19000</v>
      </c>
    </row>
    <row r="2510" spans="2:20" hidden="1" x14ac:dyDescent="0.25">
      <c r="B2510" s="97">
        <f t="shared" si="674"/>
        <v>149</v>
      </c>
      <c r="C2510" s="47"/>
      <c r="D2510" s="47" t="s">
        <v>60</v>
      </c>
      <c r="E2510" s="296"/>
      <c r="F2510" s="294"/>
      <c r="G2510" s="294"/>
      <c r="H2510" s="295"/>
      <c r="I2510" s="48" t="e">
        <f>#REF!+#REF!</f>
        <v>#REF!</v>
      </c>
      <c r="J2510" s="48">
        <f t="shared" si="699"/>
        <v>19000</v>
      </c>
      <c r="K2510" s="48">
        <f t="shared" si="699"/>
        <v>19165</v>
      </c>
      <c r="L2510" s="48">
        <f t="shared" si="699"/>
        <v>12465.46</v>
      </c>
      <c r="M2510" s="48">
        <f t="shared" si="699"/>
        <v>13356</v>
      </c>
      <c r="N2510" s="48"/>
      <c r="O2510" s="48">
        <f t="shared" si="700"/>
        <v>0</v>
      </c>
      <c r="P2510" s="48">
        <f t="shared" si="700"/>
        <v>0</v>
      </c>
      <c r="Q2510" s="48">
        <f t="shared" si="700"/>
        <v>0</v>
      </c>
      <c r="R2510" s="48">
        <f t="shared" si="700"/>
        <v>0</v>
      </c>
      <c r="T2510" s="48" t="e">
        <f t="shared" si="695"/>
        <v>#REF!</v>
      </c>
    </row>
    <row r="2511" spans="2:20" hidden="1" x14ac:dyDescent="0.25">
      <c r="B2511" s="97">
        <f t="shared" si="674"/>
        <v>150</v>
      </c>
      <c r="C2511" s="49"/>
      <c r="D2511" s="49"/>
      <c r="E2511" s="49"/>
      <c r="F2511" s="49"/>
      <c r="G2511" s="123"/>
      <c r="H2511" s="49" t="s">
        <v>12</v>
      </c>
      <c r="I2511" s="50" t="e">
        <f>#REF!+#REF!</f>
        <v>#REF!</v>
      </c>
      <c r="J2511" s="50">
        <f t="shared" si="699"/>
        <v>19000</v>
      </c>
      <c r="K2511" s="50">
        <f t="shared" si="699"/>
        <v>19165</v>
      </c>
      <c r="L2511" s="50">
        <f t="shared" si="699"/>
        <v>12465.46</v>
      </c>
      <c r="M2511" s="50">
        <f t="shared" si="699"/>
        <v>13356</v>
      </c>
      <c r="N2511" s="50"/>
      <c r="O2511" s="50">
        <f t="shared" si="700"/>
        <v>0</v>
      </c>
      <c r="P2511" s="50">
        <f t="shared" si="700"/>
        <v>0</v>
      </c>
      <c r="Q2511" s="50">
        <f t="shared" si="700"/>
        <v>0</v>
      </c>
      <c r="R2511" s="50">
        <f t="shared" si="700"/>
        <v>0</v>
      </c>
      <c r="T2511" s="50" t="e">
        <f t="shared" si="695"/>
        <v>#REF!</v>
      </c>
    </row>
    <row r="2512" spans="2:20" hidden="1" x14ac:dyDescent="0.25">
      <c r="B2512" s="97">
        <f t="shared" si="674"/>
        <v>151</v>
      </c>
      <c r="C2512" s="51"/>
      <c r="D2512" s="51"/>
      <c r="E2512" s="51" t="s">
        <v>60</v>
      </c>
      <c r="F2512" s="51"/>
      <c r="G2512" s="124"/>
      <c r="H2512" s="51"/>
      <c r="I2512" s="52" t="e">
        <f>#REF!+#REF!</f>
        <v>#REF!</v>
      </c>
      <c r="J2512" s="52">
        <f t="shared" ref="J2512:R2512" si="701">J2515+J2513</f>
        <v>19000</v>
      </c>
      <c r="K2512" s="52">
        <f t="shared" si="701"/>
        <v>19165</v>
      </c>
      <c r="L2512" s="52">
        <f t="shared" si="701"/>
        <v>12465.46</v>
      </c>
      <c r="M2512" s="52">
        <f t="shared" si="701"/>
        <v>13356</v>
      </c>
      <c r="N2512" s="52"/>
      <c r="O2512" s="52">
        <f t="shared" si="701"/>
        <v>0</v>
      </c>
      <c r="P2512" s="52">
        <f t="shared" si="701"/>
        <v>0</v>
      </c>
      <c r="Q2512" s="52">
        <f t="shared" si="701"/>
        <v>0</v>
      </c>
      <c r="R2512" s="52">
        <f t="shared" si="701"/>
        <v>0</v>
      </c>
      <c r="T2512" s="52" t="e">
        <f t="shared" si="695"/>
        <v>#REF!</v>
      </c>
    </row>
    <row r="2513" spans="2:20" x14ac:dyDescent="0.25">
      <c r="B2513" s="97">
        <f t="shared" si="674"/>
        <v>152</v>
      </c>
      <c r="C2513" s="29"/>
      <c r="D2513" s="29"/>
      <c r="E2513" s="29"/>
      <c r="F2513" s="53" t="s">
        <v>551</v>
      </c>
      <c r="G2513" s="125">
        <v>630</v>
      </c>
      <c r="H2513" s="29" t="s">
        <v>303</v>
      </c>
      <c r="I2513" s="15">
        <f>I2514</f>
        <v>12000</v>
      </c>
      <c r="J2513" s="15">
        <f t="shared" ref="J2513:M2513" si="702">J2514</f>
        <v>12000</v>
      </c>
      <c r="K2513" s="15">
        <f t="shared" si="702"/>
        <v>14165</v>
      </c>
      <c r="L2513" s="15">
        <f t="shared" si="702"/>
        <v>10077.459999999999</v>
      </c>
      <c r="M2513" s="15">
        <f t="shared" si="702"/>
        <v>7222</v>
      </c>
      <c r="N2513" s="15"/>
      <c r="O2513" s="15"/>
      <c r="P2513" s="15"/>
      <c r="Q2513" s="15"/>
      <c r="R2513" s="15"/>
      <c r="T2513" s="15">
        <f t="shared" si="695"/>
        <v>12000</v>
      </c>
    </row>
    <row r="2514" spans="2:20" x14ac:dyDescent="0.25">
      <c r="B2514" s="97">
        <f t="shared" si="674"/>
        <v>153</v>
      </c>
      <c r="C2514" s="9"/>
      <c r="D2514" s="9"/>
      <c r="E2514" s="9"/>
      <c r="F2514" s="54" t="s">
        <v>551</v>
      </c>
      <c r="G2514" s="126">
        <v>637</v>
      </c>
      <c r="H2514" s="9" t="s">
        <v>308</v>
      </c>
      <c r="I2514" s="10">
        <v>12000</v>
      </c>
      <c r="J2514" s="10">
        <v>12000</v>
      </c>
      <c r="K2514" s="10">
        <v>14165</v>
      </c>
      <c r="L2514" s="10">
        <v>10077.459999999999</v>
      </c>
      <c r="M2514" s="10">
        <f>6830+392</f>
        <v>7222</v>
      </c>
      <c r="N2514" s="10"/>
      <c r="O2514" s="10"/>
      <c r="P2514" s="10"/>
      <c r="Q2514" s="10"/>
      <c r="R2514" s="10"/>
      <c r="T2514" s="10">
        <f t="shared" si="695"/>
        <v>12000</v>
      </c>
    </row>
    <row r="2515" spans="2:20" x14ac:dyDescent="0.25">
      <c r="B2515" s="97">
        <f t="shared" ref="B2515:B2540" si="703">B2514+1</f>
        <v>154</v>
      </c>
      <c r="C2515" s="29"/>
      <c r="D2515" s="29"/>
      <c r="E2515" s="29"/>
      <c r="F2515" s="53" t="s">
        <v>551</v>
      </c>
      <c r="G2515" s="125">
        <v>640</v>
      </c>
      <c r="H2515" s="29" t="s">
        <v>315</v>
      </c>
      <c r="I2515" s="15">
        <f>I2516</f>
        <v>7000</v>
      </c>
      <c r="J2515" s="15">
        <f t="shared" ref="J2515:M2515" si="704">J2516</f>
        <v>7000</v>
      </c>
      <c r="K2515" s="15">
        <f t="shared" si="704"/>
        <v>5000</v>
      </c>
      <c r="L2515" s="15">
        <f t="shared" si="704"/>
        <v>2388</v>
      </c>
      <c r="M2515" s="15">
        <f t="shared" si="704"/>
        <v>6134</v>
      </c>
      <c r="N2515" s="15"/>
      <c r="O2515" s="15"/>
      <c r="P2515" s="15"/>
      <c r="Q2515" s="15"/>
      <c r="R2515" s="15"/>
      <c r="T2515" s="15">
        <f t="shared" si="695"/>
        <v>7000</v>
      </c>
    </row>
    <row r="2516" spans="2:20" x14ac:dyDescent="0.25">
      <c r="B2516" s="97">
        <f t="shared" si="703"/>
        <v>155</v>
      </c>
      <c r="C2516" s="9"/>
      <c r="D2516" s="9"/>
      <c r="E2516" s="9"/>
      <c r="F2516" s="54" t="s">
        <v>551</v>
      </c>
      <c r="G2516" s="126">
        <v>642</v>
      </c>
      <c r="H2516" s="9" t="s">
        <v>316</v>
      </c>
      <c r="I2516" s="10">
        <v>7000</v>
      </c>
      <c r="J2516" s="10">
        <v>7000</v>
      </c>
      <c r="K2516" s="10">
        <v>5000</v>
      </c>
      <c r="L2516" s="10">
        <v>2388</v>
      </c>
      <c r="M2516" s="10">
        <v>6134</v>
      </c>
      <c r="N2516" s="10"/>
      <c r="O2516" s="10"/>
      <c r="P2516" s="10"/>
      <c r="Q2516" s="10"/>
      <c r="R2516" s="10"/>
      <c r="T2516" s="10">
        <f t="shared" si="695"/>
        <v>7000</v>
      </c>
    </row>
    <row r="2517" spans="2:20" ht="15.75" x14ac:dyDescent="0.25">
      <c r="B2517" s="97">
        <f t="shared" si="703"/>
        <v>156</v>
      </c>
      <c r="C2517" s="45">
        <v>10</v>
      </c>
      <c r="D2517" s="293" t="s">
        <v>652</v>
      </c>
      <c r="E2517" s="294"/>
      <c r="F2517" s="294"/>
      <c r="G2517" s="294"/>
      <c r="H2517" s="295"/>
      <c r="I2517" s="46">
        <f>I2518</f>
        <v>12570</v>
      </c>
      <c r="J2517" s="46">
        <f t="shared" ref="J2517:R2517" si="705">J2518</f>
        <v>12225</v>
      </c>
      <c r="K2517" s="46">
        <f t="shared" si="705"/>
        <v>11925</v>
      </c>
      <c r="L2517" s="46">
        <f t="shared" si="705"/>
        <v>11051</v>
      </c>
      <c r="M2517" s="46">
        <f t="shared" si="705"/>
        <v>10194</v>
      </c>
      <c r="N2517" s="46"/>
      <c r="O2517" s="46">
        <f t="shared" si="705"/>
        <v>0</v>
      </c>
      <c r="P2517" s="46">
        <f t="shared" si="705"/>
        <v>0</v>
      </c>
      <c r="Q2517" s="46">
        <f t="shared" si="705"/>
        <v>0</v>
      </c>
      <c r="R2517" s="46">
        <f t="shared" si="705"/>
        <v>0</v>
      </c>
      <c r="T2517" s="46">
        <f t="shared" si="695"/>
        <v>12570</v>
      </c>
    </row>
    <row r="2518" spans="2:20" x14ac:dyDescent="0.25">
      <c r="B2518" s="97">
        <f t="shared" si="703"/>
        <v>157</v>
      </c>
      <c r="C2518" s="49"/>
      <c r="D2518" s="49"/>
      <c r="E2518" s="49">
        <v>5</v>
      </c>
      <c r="F2518" s="49"/>
      <c r="G2518" s="123"/>
      <c r="H2518" s="49" t="s">
        <v>138</v>
      </c>
      <c r="I2518" s="50">
        <f>I2520+I2521+I2522+I2527</f>
        <v>12570</v>
      </c>
      <c r="J2518" s="50">
        <f t="shared" ref="J2518:R2518" si="706">J2519</f>
        <v>12225</v>
      </c>
      <c r="K2518" s="50">
        <f t="shared" si="706"/>
        <v>11925</v>
      </c>
      <c r="L2518" s="50">
        <f t="shared" si="706"/>
        <v>11051</v>
      </c>
      <c r="M2518" s="50">
        <f t="shared" si="706"/>
        <v>10194</v>
      </c>
      <c r="N2518" s="50"/>
      <c r="O2518" s="50">
        <f t="shared" si="706"/>
        <v>0</v>
      </c>
      <c r="P2518" s="50">
        <f t="shared" si="706"/>
        <v>0</v>
      </c>
      <c r="Q2518" s="50">
        <f t="shared" si="706"/>
        <v>0</v>
      </c>
      <c r="R2518" s="50">
        <f t="shared" si="706"/>
        <v>0</v>
      </c>
      <c r="T2518" s="50">
        <f t="shared" si="695"/>
        <v>12570</v>
      </c>
    </row>
    <row r="2519" spans="2:20" hidden="1" x14ac:dyDescent="0.25">
      <c r="B2519" s="97">
        <f t="shared" si="703"/>
        <v>158</v>
      </c>
      <c r="C2519" s="51"/>
      <c r="D2519" s="51"/>
      <c r="E2519" s="51" t="s">
        <v>60</v>
      </c>
      <c r="F2519" s="51"/>
      <c r="G2519" s="124"/>
      <c r="H2519" s="51"/>
      <c r="I2519" s="52" t="e">
        <f>#REF!+#REF!</f>
        <v>#REF!</v>
      </c>
      <c r="J2519" s="52">
        <f t="shared" ref="J2519:R2519" si="707">J2527+J2522+J2521+J2520</f>
        <v>12225</v>
      </c>
      <c r="K2519" s="52">
        <f t="shared" si="707"/>
        <v>11925</v>
      </c>
      <c r="L2519" s="52">
        <f t="shared" si="707"/>
        <v>11051</v>
      </c>
      <c r="M2519" s="52">
        <f t="shared" si="707"/>
        <v>10194</v>
      </c>
      <c r="N2519" s="52"/>
      <c r="O2519" s="52">
        <f t="shared" si="707"/>
        <v>0</v>
      </c>
      <c r="P2519" s="52">
        <f t="shared" si="707"/>
        <v>0</v>
      </c>
      <c r="Q2519" s="52">
        <f t="shared" si="707"/>
        <v>0</v>
      </c>
      <c r="R2519" s="52">
        <f t="shared" si="707"/>
        <v>0</v>
      </c>
      <c r="T2519" s="52" t="e">
        <f t="shared" si="695"/>
        <v>#REF!</v>
      </c>
    </row>
    <row r="2520" spans="2:20" x14ac:dyDescent="0.25">
      <c r="B2520" s="97">
        <f t="shared" si="703"/>
        <v>159</v>
      </c>
      <c r="C2520" s="29"/>
      <c r="D2520" s="29"/>
      <c r="E2520" s="29"/>
      <c r="F2520" s="53" t="s">
        <v>648</v>
      </c>
      <c r="G2520" s="125">
        <v>610</v>
      </c>
      <c r="H2520" s="29" t="s">
        <v>338</v>
      </c>
      <c r="I2520" s="15">
        <v>6945</v>
      </c>
      <c r="J2520" s="15">
        <v>6705</v>
      </c>
      <c r="K2520" s="15">
        <v>6705</v>
      </c>
      <c r="L2520" s="15">
        <v>6239</v>
      </c>
      <c r="M2520" s="15">
        <v>4890</v>
      </c>
      <c r="N2520" s="15"/>
      <c r="O2520" s="15"/>
      <c r="P2520" s="15"/>
      <c r="Q2520" s="15"/>
      <c r="R2520" s="15"/>
      <c r="T2520" s="15">
        <f t="shared" si="695"/>
        <v>6945</v>
      </c>
    </row>
    <row r="2521" spans="2:20" x14ac:dyDescent="0.25">
      <c r="B2521" s="97">
        <f t="shared" si="703"/>
        <v>160</v>
      </c>
      <c r="C2521" s="29"/>
      <c r="D2521" s="29"/>
      <c r="E2521" s="29"/>
      <c r="F2521" s="53" t="s">
        <v>648</v>
      </c>
      <c r="G2521" s="125">
        <v>620</v>
      </c>
      <c r="H2521" s="29" t="s">
        <v>313</v>
      </c>
      <c r="I2521" s="15">
        <v>2445</v>
      </c>
      <c r="J2521" s="15">
        <v>2350</v>
      </c>
      <c r="K2521" s="15">
        <f>2350-300</f>
        <v>2050</v>
      </c>
      <c r="L2521" s="15">
        <v>1693</v>
      </c>
      <c r="M2521" s="15">
        <v>2202</v>
      </c>
      <c r="N2521" s="15"/>
      <c r="O2521" s="15"/>
      <c r="P2521" s="15"/>
      <c r="Q2521" s="15"/>
      <c r="R2521" s="15"/>
      <c r="T2521" s="15">
        <f t="shared" si="695"/>
        <v>2445</v>
      </c>
    </row>
    <row r="2522" spans="2:20" x14ac:dyDescent="0.25">
      <c r="B2522" s="97">
        <f t="shared" si="703"/>
        <v>161</v>
      </c>
      <c r="C2522" s="29"/>
      <c r="D2522" s="29"/>
      <c r="E2522" s="29"/>
      <c r="F2522" s="53" t="s">
        <v>648</v>
      </c>
      <c r="G2522" s="125">
        <v>630</v>
      </c>
      <c r="H2522" s="29" t="s">
        <v>303</v>
      </c>
      <c r="I2522" s="15">
        <f>I2523+I2524+I2525+I2526</f>
        <v>3150</v>
      </c>
      <c r="J2522" s="15">
        <f t="shared" ref="J2522:M2522" si="708">J2526+J2525+J2524+J2523</f>
        <v>3140</v>
      </c>
      <c r="K2522" s="15">
        <f t="shared" si="708"/>
        <v>3140</v>
      </c>
      <c r="L2522" s="15">
        <f t="shared" si="708"/>
        <v>3089</v>
      </c>
      <c r="M2522" s="15">
        <f t="shared" si="708"/>
        <v>3010</v>
      </c>
      <c r="N2522" s="15"/>
      <c r="O2522" s="15"/>
      <c r="P2522" s="15"/>
      <c r="Q2522" s="15"/>
      <c r="R2522" s="15"/>
      <c r="T2522" s="15">
        <f t="shared" si="695"/>
        <v>3150</v>
      </c>
    </row>
    <row r="2523" spans="2:20" x14ac:dyDescent="0.25">
      <c r="B2523" s="97">
        <f t="shared" si="703"/>
        <v>162</v>
      </c>
      <c r="C2523" s="9"/>
      <c r="D2523" s="9"/>
      <c r="E2523" s="9"/>
      <c r="F2523" s="54" t="s">
        <v>648</v>
      </c>
      <c r="G2523" s="126">
        <v>632</v>
      </c>
      <c r="H2523" s="9" t="s">
        <v>314</v>
      </c>
      <c r="I2523" s="10">
        <v>70</v>
      </c>
      <c r="J2523" s="10">
        <v>70</v>
      </c>
      <c r="K2523" s="10">
        <v>70</v>
      </c>
      <c r="L2523" s="10">
        <v>37</v>
      </c>
      <c r="M2523" s="10">
        <v>70</v>
      </c>
      <c r="N2523" s="10"/>
      <c r="O2523" s="10"/>
      <c r="P2523" s="10"/>
      <c r="Q2523" s="10"/>
      <c r="R2523" s="10"/>
      <c r="T2523" s="10">
        <f t="shared" si="695"/>
        <v>70</v>
      </c>
    </row>
    <row r="2524" spans="2:20" x14ac:dyDescent="0.25">
      <c r="B2524" s="97">
        <f t="shared" si="703"/>
        <v>163</v>
      </c>
      <c r="C2524" s="9"/>
      <c r="D2524" s="9"/>
      <c r="E2524" s="9"/>
      <c r="F2524" s="54" t="s">
        <v>648</v>
      </c>
      <c r="G2524" s="126">
        <v>633</v>
      </c>
      <c r="H2524" s="9" t="s">
        <v>305</v>
      </c>
      <c r="I2524" s="10">
        <v>0</v>
      </c>
      <c r="J2524" s="10">
        <v>0</v>
      </c>
      <c r="K2524" s="10">
        <v>0</v>
      </c>
      <c r="L2524" s="10">
        <v>0</v>
      </c>
      <c r="M2524" s="10">
        <v>30</v>
      </c>
      <c r="N2524" s="10"/>
      <c r="O2524" s="10"/>
      <c r="P2524" s="10"/>
      <c r="Q2524" s="10"/>
      <c r="R2524" s="10"/>
      <c r="T2524" s="10">
        <f t="shared" si="695"/>
        <v>0</v>
      </c>
    </row>
    <row r="2525" spans="2:20" x14ac:dyDescent="0.25">
      <c r="B2525" s="97">
        <f t="shared" si="703"/>
        <v>164</v>
      </c>
      <c r="C2525" s="9"/>
      <c r="D2525" s="9"/>
      <c r="E2525" s="9"/>
      <c r="F2525" s="54" t="s">
        <v>648</v>
      </c>
      <c r="G2525" s="126">
        <v>634</v>
      </c>
      <c r="H2525" s="9" t="s">
        <v>306</v>
      </c>
      <c r="I2525" s="10">
        <v>2400</v>
      </c>
      <c r="J2525" s="10">
        <v>2400</v>
      </c>
      <c r="K2525" s="10">
        <v>2400</v>
      </c>
      <c r="L2525" s="10">
        <v>2599</v>
      </c>
      <c r="M2525" s="10">
        <v>2240</v>
      </c>
      <c r="N2525" s="10"/>
      <c r="O2525" s="10"/>
      <c r="P2525" s="10"/>
      <c r="Q2525" s="10"/>
      <c r="R2525" s="10"/>
      <c r="T2525" s="10">
        <f t="shared" si="695"/>
        <v>2400</v>
      </c>
    </row>
    <row r="2526" spans="2:20" x14ac:dyDescent="0.25">
      <c r="B2526" s="97">
        <f t="shared" si="703"/>
        <v>165</v>
      </c>
      <c r="C2526" s="9"/>
      <c r="D2526" s="9"/>
      <c r="E2526" s="9"/>
      <c r="F2526" s="54" t="s">
        <v>648</v>
      </c>
      <c r="G2526" s="126">
        <v>637</v>
      </c>
      <c r="H2526" s="9" t="s">
        <v>308</v>
      </c>
      <c r="I2526" s="10">
        <v>680</v>
      </c>
      <c r="J2526" s="10">
        <v>670</v>
      </c>
      <c r="K2526" s="10">
        <v>670</v>
      </c>
      <c r="L2526" s="10">
        <v>453</v>
      </c>
      <c r="M2526" s="10">
        <v>670</v>
      </c>
      <c r="N2526" s="10"/>
      <c r="O2526" s="10"/>
      <c r="P2526" s="10"/>
      <c r="Q2526" s="10"/>
      <c r="R2526" s="10"/>
      <c r="T2526" s="10">
        <f t="shared" si="695"/>
        <v>680</v>
      </c>
    </row>
    <row r="2527" spans="2:20" x14ac:dyDescent="0.25">
      <c r="B2527" s="97">
        <f t="shared" si="703"/>
        <v>166</v>
      </c>
      <c r="C2527" s="29"/>
      <c r="D2527" s="29"/>
      <c r="E2527" s="29"/>
      <c r="F2527" s="53" t="s">
        <v>648</v>
      </c>
      <c r="G2527" s="125">
        <v>640</v>
      </c>
      <c r="H2527" s="29" t="s">
        <v>315</v>
      </c>
      <c r="I2527" s="15">
        <v>30</v>
      </c>
      <c r="J2527" s="15">
        <v>30</v>
      </c>
      <c r="K2527" s="15">
        <v>30</v>
      </c>
      <c r="L2527" s="15">
        <v>30</v>
      </c>
      <c r="M2527" s="15">
        <v>92</v>
      </c>
      <c r="N2527" s="15"/>
      <c r="O2527" s="15"/>
      <c r="P2527" s="15"/>
      <c r="Q2527" s="15"/>
      <c r="R2527" s="15"/>
      <c r="T2527" s="15">
        <f t="shared" si="695"/>
        <v>30</v>
      </c>
    </row>
    <row r="2528" spans="2:20" ht="15.75" x14ac:dyDescent="0.25">
      <c r="B2528" s="97">
        <f t="shared" si="703"/>
        <v>167</v>
      </c>
      <c r="C2528" s="45">
        <v>11</v>
      </c>
      <c r="D2528" s="293" t="s">
        <v>653</v>
      </c>
      <c r="E2528" s="294"/>
      <c r="F2528" s="294"/>
      <c r="G2528" s="294"/>
      <c r="H2528" s="295"/>
      <c r="I2528" s="46">
        <f>I2530</f>
        <v>144430</v>
      </c>
      <c r="J2528" s="46">
        <f t="shared" ref="J2528:R2529" si="709">J2529</f>
        <v>135380</v>
      </c>
      <c r="K2528" s="46">
        <f t="shared" si="709"/>
        <v>145836</v>
      </c>
      <c r="L2528" s="46">
        <f t="shared" si="709"/>
        <v>119388</v>
      </c>
      <c r="M2528" s="46">
        <f t="shared" si="709"/>
        <v>114244</v>
      </c>
      <c r="N2528" s="46"/>
      <c r="O2528" s="46">
        <f t="shared" si="709"/>
        <v>0</v>
      </c>
      <c r="P2528" s="46">
        <f t="shared" si="709"/>
        <v>0</v>
      </c>
      <c r="Q2528" s="46">
        <f t="shared" si="709"/>
        <v>0</v>
      </c>
      <c r="R2528" s="46">
        <f t="shared" si="709"/>
        <v>0</v>
      </c>
      <c r="T2528" s="46">
        <f t="shared" si="695"/>
        <v>144430</v>
      </c>
    </row>
    <row r="2529" spans="2:20" hidden="1" x14ac:dyDescent="0.25">
      <c r="B2529" s="97">
        <f t="shared" si="703"/>
        <v>168</v>
      </c>
      <c r="C2529" s="47"/>
      <c r="D2529" s="47" t="s">
        <v>60</v>
      </c>
      <c r="E2529" s="296"/>
      <c r="F2529" s="294"/>
      <c r="G2529" s="294"/>
      <c r="H2529" s="295"/>
      <c r="I2529" s="48" t="e">
        <f>#REF!+#REF!</f>
        <v>#REF!</v>
      </c>
      <c r="J2529" s="48">
        <f t="shared" si="709"/>
        <v>135380</v>
      </c>
      <c r="K2529" s="48">
        <f t="shared" si="709"/>
        <v>145836</v>
      </c>
      <c r="L2529" s="48">
        <f t="shared" si="709"/>
        <v>119388</v>
      </c>
      <c r="M2529" s="48">
        <f t="shared" si="709"/>
        <v>114244</v>
      </c>
      <c r="N2529" s="48"/>
      <c r="O2529" s="48">
        <f t="shared" ref="O2529:R2529" si="710">O2530</f>
        <v>0</v>
      </c>
      <c r="P2529" s="48">
        <f t="shared" si="710"/>
        <v>0</v>
      </c>
      <c r="Q2529" s="48">
        <f t="shared" si="710"/>
        <v>0</v>
      </c>
      <c r="R2529" s="48">
        <f t="shared" si="710"/>
        <v>0</v>
      </c>
      <c r="T2529" s="48" t="e">
        <f t="shared" si="695"/>
        <v>#REF!</v>
      </c>
    </row>
    <row r="2530" spans="2:20" x14ac:dyDescent="0.25">
      <c r="B2530" s="97">
        <f t="shared" si="703"/>
        <v>169</v>
      </c>
      <c r="C2530" s="49"/>
      <c r="D2530" s="49"/>
      <c r="E2530" s="49">
        <v>5</v>
      </c>
      <c r="F2530" s="49"/>
      <c r="G2530" s="123"/>
      <c r="H2530" s="49" t="s">
        <v>138</v>
      </c>
      <c r="I2530" s="50">
        <f>I2531+I2532+I2533+I2540+I2541</f>
        <v>144430</v>
      </c>
      <c r="J2530" s="50">
        <f t="shared" ref="J2530:M2530" si="711">J2531+J2532+J2533+J2540+J2541</f>
        <v>135380</v>
      </c>
      <c r="K2530" s="50">
        <f t="shared" si="711"/>
        <v>145836</v>
      </c>
      <c r="L2530" s="50">
        <f t="shared" si="711"/>
        <v>119388</v>
      </c>
      <c r="M2530" s="50">
        <f t="shared" si="711"/>
        <v>114244</v>
      </c>
      <c r="N2530" s="50"/>
      <c r="O2530" s="50"/>
      <c r="P2530" s="50"/>
      <c r="Q2530" s="50"/>
      <c r="R2530" s="50"/>
      <c r="T2530" s="50">
        <f t="shared" si="695"/>
        <v>144430</v>
      </c>
    </row>
    <row r="2531" spans="2:20" x14ac:dyDescent="0.25">
      <c r="B2531" s="97">
        <f t="shared" si="703"/>
        <v>170</v>
      </c>
      <c r="C2531" s="29"/>
      <c r="D2531" s="29"/>
      <c r="E2531" s="29"/>
      <c r="F2531" s="53" t="s">
        <v>635</v>
      </c>
      <c r="G2531" s="125">
        <v>610</v>
      </c>
      <c r="H2531" s="29" t="s">
        <v>338</v>
      </c>
      <c r="I2531" s="15">
        <v>85000</v>
      </c>
      <c r="J2531" s="15">
        <v>79485</v>
      </c>
      <c r="K2531" s="15">
        <f>79485+6400</f>
        <v>85885</v>
      </c>
      <c r="L2531" s="15">
        <v>69450</v>
      </c>
      <c r="M2531" s="15">
        <v>65850</v>
      </c>
      <c r="N2531" s="15"/>
      <c r="O2531" s="15"/>
      <c r="P2531" s="15"/>
      <c r="Q2531" s="15"/>
      <c r="R2531" s="15"/>
      <c r="T2531" s="15">
        <f t="shared" si="695"/>
        <v>85000</v>
      </c>
    </row>
    <row r="2532" spans="2:20" x14ac:dyDescent="0.25">
      <c r="B2532" s="97">
        <f t="shared" si="703"/>
        <v>171</v>
      </c>
      <c r="C2532" s="29"/>
      <c r="D2532" s="29"/>
      <c r="E2532" s="29"/>
      <c r="F2532" s="53" t="s">
        <v>635</v>
      </c>
      <c r="G2532" s="125">
        <v>620</v>
      </c>
      <c r="H2532" s="29" t="s">
        <v>313</v>
      </c>
      <c r="I2532" s="15">
        <v>29750</v>
      </c>
      <c r="J2532" s="15">
        <v>27820</v>
      </c>
      <c r="K2532" s="15">
        <f>27820+3090</f>
        <v>30910</v>
      </c>
      <c r="L2532" s="15">
        <v>24453</v>
      </c>
      <c r="M2532" s="15">
        <v>23510</v>
      </c>
      <c r="N2532" s="15"/>
      <c r="O2532" s="15"/>
      <c r="P2532" s="15"/>
      <c r="Q2532" s="15"/>
      <c r="R2532" s="15"/>
      <c r="T2532" s="15">
        <f t="shared" si="695"/>
        <v>29750</v>
      </c>
    </row>
    <row r="2533" spans="2:20" x14ac:dyDescent="0.25">
      <c r="B2533" s="97">
        <f t="shared" si="703"/>
        <v>172</v>
      </c>
      <c r="C2533" s="29"/>
      <c r="D2533" s="29"/>
      <c r="E2533" s="29"/>
      <c r="F2533" s="53" t="s">
        <v>635</v>
      </c>
      <c r="G2533" s="125">
        <v>630</v>
      </c>
      <c r="H2533" s="29" t="s">
        <v>303</v>
      </c>
      <c r="I2533" s="15">
        <f>I2534+I2535+I2536+I2537+I2538+I2539</f>
        <v>29680</v>
      </c>
      <c r="J2533" s="15">
        <f t="shared" ref="J2533:M2533" si="712">J2539+J2538+J2537+J2536+J2535+J2534</f>
        <v>28075</v>
      </c>
      <c r="K2533" s="15">
        <f t="shared" si="712"/>
        <v>29041</v>
      </c>
      <c r="L2533" s="15">
        <f t="shared" si="712"/>
        <v>25420</v>
      </c>
      <c r="M2533" s="15">
        <f t="shared" si="712"/>
        <v>24784</v>
      </c>
      <c r="N2533" s="15"/>
      <c r="O2533" s="15"/>
      <c r="P2533" s="15"/>
      <c r="Q2533" s="15"/>
      <c r="R2533" s="15"/>
      <c r="T2533" s="15">
        <f t="shared" si="695"/>
        <v>29680</v>
      </c>
    </row>
    <row r="2534" spans="2:20" x14ac:dyDescent="0.25">
      <c r="B2534" s="97">
        <f t="shared" si="703"/>
        <v>173</v>
      </c>
      <c r="C2534" s="9"/>
      <c r="D2534" s="9"/>
      <c r="E2534" s="9"/>
      <c r="F2534" s="54" t="s">
        <v>635</v>
      </c>
      <c r="G2534" s="126">
        <v>631</v>
      </c>
      <c r="H2534" s="9" t="s">
        <v>304</v>
      </c>
      <c r="I2534" s="10">
        <v>300</v>
      </c>
      <c r="J2534" s="10">
        <v>300</v>
      </c>
      <c r="K2534" s="10">
        <v>300</v>
      </c>
      <c r="L2534" s="10">
        <v>108</v>
      </c>
      <c r="M2534" s="10">
        <v>108</v>
      </c>
      <c r="N2534" s="10"/>
      <c r="O2534" s="10"/>
      <c r="P2534" s="10"/>
      <c r="Q2534" s="10"/>
      <c r="R2534" s="10"/>
      <c r="T2534" s="10">
        <f t="shared" si="695"/>
        <v>300</v>
      </c>
    </row>
    <row r="2535" spans="2:20" x14ac:dyDescent="0.25">
      <c r="B2535" s="97">
        <f t="shared" si="703"/>
        <v>174</v>
      </c>
      <c r="C2535" s="9"/>
      <c r="D2535" s="9"/>
      <c r="E2535" s="9"/>
      <c r="F2535" s="54" t="s">
        <v>635</v>
      </c>
      <c r="G2535" s="126">
        <v>632</v>
      </c>
      <c r="H2535" s="9" t="s">
        <v>314</v>
      </c>
      <c r="I2535" s="10">
        <v>2300</v>
      </c>
      <c r="J2535" s="10">
        <v>2300</v>
      </c>
      <c r="K2535" s="10">
        <v>2300</v>
      </c>
      <c r="L2535" s="10">
        <v>2487</v>
      </c>
      <c r="M2535" s="10">
        <v>2301</v>
      </c>
      <c r="N2535" s="10"/>
      <c r="O2535" s="10"/>
      <c r="P2535" s="10"/>
      <c r="Q2535" s="10"/>
      <c r="R2535" s="10"/>
      <c r="T2535" s="10">
        <f t="shared" si="695"/>
        <v>2300</v>
      </c>
    </row>
    <row r="2536" spans="2:20" x14ac:dyDescent="0.25">
      <c r="B2536" s="97">
        <f t="shared" si="703"/>
        <v>175</v>
      </c>
      <c r="C2536" s="9"/>
      <c r="D2536" s="9"/>
      <c r="E2536" s="9"/>
      <c r="F2536" s="54" t="s">
        <v>635</v>
      </c>
      <c r="G2536" s="126">
        <v>633</v>
      </c>
      <c r="H2536" s="9" t="s">
        <v>305</v>
      </c>
      <c r="I2536" s="10">
        <v>4160</v>
      </c>
      <c r="J2536" s="10">
        <v>3160</v>
      </c>
      <c r="K2536" s="10">
        <v>3160</v>
      </c>
      <c r="L2536" s="10">
        <v>3035</v>
      </c>
      <c r="M2536" s="10">
        <v>2218</v>
      </c>
      <c r="N2536" s="10"/>
      <c r="O2536" s="10"/>
      <c r="P2536" s="10"/>
      <c r="Q2536" s="10"/>
      <c r="R2536" s="10"/>
      <c r="T2536" s="10">
        <f t="shared" si="695"/>
        <v>4160</v>
      </c>
    </row>
    <row r="2537" spans="2:20" x14ac:dyDescent="0.25">
      <c r="B2537" s="97">
        <f t="shared" si="703"/>
        <v>176</v>
      </c>
      <c r="C2537" s="9"/>
      <c r="D2537" s="9"/>
      <c r="E2537" s="9"/>
      <c r="F2537" s="54" t="s">
        <v>635</v>
      </c>
      <c r="G2537" s="126">
        <v>634</v>
      </c>
      <c r="H2537" s="9" t="s">
        <v>306</v>
      </c>
      <c r="I2537" s="10">
        <v>988</v>
      </c>
      <c r="J2537" s="10">
        <v>543</v>
      </c>
      <c r="K2537" s="10">
        <f>688+300</f>
        <v>988</v>
      </c>
      <c r="L2537" s="10">
        <v>622</v>
      </c>
      <c r="M2537" s="10">
        <v>300</v>
      </c>
      <c r="N2537" s="10"/>
      <c r="O2537" s="10"/>
      <c r="P2537" s="10"/>
      <c r="Q2537" s="10"/>
      <c r="R2537" s="10"/>
      <c r="T2537" s="10">
        <f t="shared" si="695"/>
        <v>988</v>
      </c>
    </row>
    <row r="2538" spans="2:20" x14ac:dyDescent="0.25">
      <c r="B2538" s="97">
        <f t="shared" si="703"/>
        <v>177</v>
      </c>
      <c r="C2538" s="9"/>
      <c r="D2538" s="9"/>
      <c r="E2538" s="9"/>
      <c r="F2538" s="54" t="s">
        <v>635</v>
      </c>
      <c r="G2538" s="126">
        <v>635</v>
      </c>
      <c r="H2538" s="9" t="s">
        <v>320</v>
      </c>
      <c r="I2538" s="10">
        <v>1600</v>
      </c>
      <c r="J2538" s="10">
        <v>1600</v>
      </c>
      <c r="K2538" s="10">
        <v>1600</v>
      </c>
      <c r="L2538" s="10">
        <v>754</v>
      </c>
      <c r="M2538" s="10">
        <v>1600</v>
      </c>
      <c r="N2538" s="10"/>
      <c r="O2538" s="10"/>
      <c r="P2538" s="10"/>
      <c r="Q2538" s="10"/>
      <c r="R2538" s="10"/>
      <c r="T2538" s="10">
        <f t="shared" si="695"/>
        <v>1600</v>
      </c>
    </row>
    <row r="2539" spans="2:20" x14ac:dyDescent="0.25">
      <c r="B2539" s="97">
        <f t="shared" si="703"/>
        <v>178</v>
      </c>
      <c r="C2539" s="9"/>
      <c r="D2539" s="9"/>
      <c r="E2539" s="9"/>
      <c r="F2539" s="54" t="s">
        <v>635</v>
      </c>
      <c r="G2539" s="126">
        <v>637</v>
      </c>
      <c r="H2539" s="9" t="s">
        <v>308</v>
      </c>
      <c r="I2539" s="10">
        <v>20332</v>
      </c>
      <c r="J2539" s="10">
        <v>20172</v>
      </c>
      <c r="K2539" s="10">
        <f>20172+521</f>
        <v>20693</v>
      </c>
      <c r="L2539" s="10">
        <v>18414</v>
      </c>
      <c r="M2539" s="10">
        <v>18257</v>
      </c>
      <c r="N2539" s="10"/>
      <c r="O2539" s="10"/>
      <c r="P2539" s="10"/>
      <c r="Q2539" s="10"/>
      <c r="R2539" s="10"/>
      <c r="T2539" s="10">
        <f t="shared" si="695"/>
        <v>20332</v>
      </c>
    </row>
    <row r="2540" spans="2:20" x14ac:dyDescent="0.25">
      <c r="B2540" s="97">
        <f t="shared" si="703"/>
        <v>179</v>
      </c>
      <c r="C2540" s="9"/>
      <c r="D2540" s="9"/>
      <c r="E2540" s="9"/>
      <c r="F2540" s="53" t="s">
        <v>635</v>
      </c>
      <c r="G2540" s="125">
        <v>630</v>
      </c>
      <c r="H2540" s="29" t="s">
        <v>654</v>
      </c>
      <c r="I2540" s="10">
        <v>0</v>
      </c>
      <c r="J2540" s="10"/>
      <c r="K2540" s="8">
        <f>6648-6648</f>
        <v>0</v>
      </c>
      <c r="L2540" s="10"/>
      <c r="M2540" s="10"/>
      <c r="N2540" s="10"/>
      <c r="O2540" s="10"/>
      <c r="P2540" s="10"/>
      <c r="Q2540" s="10"/>
      <c r="R2540" s="10"/>
      <c r="T2540" s="10">
        <f t="shared" si="695"/>
        <v>0</v>
      </c>
    </row>
    <row r="2541" spans="2:20" x14ac:dyDescent="0.25">
      <c r="B2541" s="97">
        <f t="shared" ref="B2541" si="713">B2540+1</f>
        <v>180</v>
      </c>
      <c r="C2541" s="29"/>
      <c r="D2541" s="29"/>
      <c r="E2541" s="29"/>
      <c r="F2541" s="53" t="s">
        <v>635</v>
      </c>
      <c r="G2541" s="125">
        <v>640</v>
      </c>
      <c r="H2541" s="29" t="s">
        <v>315</v>
      </c>
      <c r="I2541" s="15">
        <v>0</v>
      </c>
      <c r="J2541" s="15">
        <v>0</v>
      </c>
      <c r="K2541" s="15">
        <v>0</v>
      </c>
      <c r="L2541" s="15">
        <v>65</v>
      </c>
      <c r="M2541" s="15">
        <v>100</v>
      </c>
      <c r="N2541" s="15"/>
      <c r="O2541" s="15"/>
      <c r="P2541" s="15"/>
      <c r="Q2541" s="15"/>
      <c r="R2541" s="15"/>
      <c r="T2541" s="15">
        <f t="shared" si="695"/>
        <v>0</v>
      </c>
    </row>
    <row r="2554" spans="2:20" ht="27" x14ac:dyDescent="0.35">
      <c r="B2554" s="310" t="s">
        <v>655</v>
      </c>
      <c r="C2554" s="311"/>
      <c r="D2554" s="311"/>
      <c r="E2554" s="311"/>
      <c r="F2554" s="311"/>
      <c r="G2554" s="311"/>
      <c r="H2554" s="311"/>
      <c r="I2554" s="311"/>
      <c r="J2554" s="311"/>
      <c r="K2554" s="311"/>
      <c r="L2554" s="311"/>
      <c r="M2554" s="311"/>
      <c r="N2554" s="311"/>
      <c r="O2554" s="311"/>
      <c r="P2554" s="311"/>
      <c r="Q2554" s="311"/>
      <c r="R2554" s="311"/>
    </row>
    <row r="2555" spans="2:20" ht="15.75" customHeight="1" x14ac:dyDescent="0.25">
      <c r="B2555" s="279" t="s">
        <v>286</v>
      </c>
      <c r="C2555" s="280"/>
      <c r="D2555" s="280"/>
      <c r="E2555" s="280"/>
      <c r="F2555" s="280"/>
      <c r="G2555" s="280"/>
      <c r="H2555" s="280"/>
      <c r="I2555" s="280"/>
      <c r="J2555" s="280"/>
      <c r="K2555" s="280"/>
      <c r="L2555" s="280"/>
      <c r="M2555" s="280"/>
      <c r="N2555" s="280"/>
      <c r="O2555" s="280"/>
      <c r="P2555" s="280"/>
      <c r="Q2555" s="280"/>
      <c r="R2555" s="281"/>
      <c r="T2555" s="314" t="s">
        <v>937</v>
      </c>
    </row>
    <row r="2556" spans="2:20" ht="12.75" customHeight="1" x14ac:dyDescent="0.25">
      <c r="B2556" s="282"/>
      <c r="C2556" s="285" t="s">
        <v>287</v>
      </c>
      <c r="D2556" s="285" t="s">
        <v>288</v>
      </c>
      <c r="E2556" s="285" t="s">
        <v>289</v>
      </c>
      <c r="F2556" s="285" t="s">
        <v>290</v>
      </c>
      <c r="G2556" s="303" t="s">
        <v>291</v>
      </c>
      <c r="H2556" s="305" t="s">
        <v>292</v>
      </c>
      <c r="I2556" s="308" t="s">
        <v>935</v>
      </c>
      <c r="J2556" s="299" t="s">
        <v>293</v>
      </c>
      <c r="K2556" s="299" t="s">
        <v>294</v>
      </c>
      <c r="L2556" s="288" t="s">
        <v>295</v>
      </c>
      <c r="M2556" s="288" t="s">
        <v>296</v>
      </c>
      <c r="N2556" s="301" t="s">
        <v>936</v>
      </c>
      <c r="O2556" s="297" t="s">
        <v>297</v>
      </c>
      <c r="P2556" s="299" t="s">
        <v>772</v>
      </c>
      <c r="Q2556" s="288" t="s">
        <v>298</v>
      </c>
      <c r="R2556" s="288" t="s">
        <v>299</v>
      </c>
      <c r="T2556" s="314"/>
    </row>
    <row r="2557" spans="2:20" x14ac:dyDescent="0.25">
      <c r="B2557" s="283"/>
      <c r="C2557" s="286"/>
      <c r="D2557" s="286"/>
      <c r="E2557" s="286"/>
      <c r="F2557" s="286"/>
      <c r="G2557" s="303"/>
      <c r="H2557" s="306"/>
      <c r="I2557" s="308"/>
      <c r="J2557" s="299"/>
      <c r="K2557" s="299"/>
      <c r="L2557" s="288"/>
      <c r="M2557" s="288"/>
      <c r="N2557" s="301"/>
      <c r="O2557" s="297"/>
      <c r="P2557" s="299"/>
      <c r="Q2557" s="288"/>
      <c r="R2557" s="288"/>
      <c r="T2557" s="314"/>
    </row>
    <row r="2558" spans="2:20" x14ac:dyDescent="0.25">
      <c r="B2558" s="283"/>
      <c r="C2558" s="286"/>
      <c r="D2558" s="286"/>
      <c r="E2558" s="286"/>
      <c r="F2558" s="286"/>
      <c r="G2558" s="303"/>
      <c r="H2558" s="306"/>
      <c r="I2558" s="308"/>
      <c r="J2558" s="299"/>
      <c r="K2558" s="299"/>
      <c r="L2558" s="288"/>
      <c r="M2558" s="288"/>
      <c r="N2558" s="301"/>
      <c r="O2558" s="297"/>
      <c r="P2558" s="299"/>
      <c r="Q2558" s="288"/>
      <c r="R2558" s="288"/>
      <c r="T2558" s="314"/>
    </row>
    <row r="2559" spans="2:20" ht="15.75" thickBot="1" x14ac:dyDescent="0.3">
      <c r="B2559" s="284"/>
      <c r="C2559" s="287"/>
      <c r="D2559" s="287"/>
      <c r="E2559" s="287"/>
      <c r="F2559" s="287"/>
      <c r="G2559" s="304"/>
      <c r="H2559" s="307"/>
      <c r="I2559" s="309"/>
      <c r="J2559" s="300"/>
      <c r="K2559" s="300"/>
      <c r="L2559" s="289"/>
      <c r="M2559" s="289"/>
      <c r="N2559" s="302"/>
      <c r="O2559" s="298"/>
      <c r="P2559" s="300"/>
      <c r="Q2559" s="289"/>
      <c r="R2559" s="289"/>
      <c r="T2559" s="314"/>
    </row>
    <row r="2560" spans="2:20" ht="16.5" thickTop="1" x14ac:dyDescent="0.25">
      <c r="B2560" s="98">
        <v>1</v>
      </c>
      <c r="C2560" s="290" t="s">
        <v>655</v>
      </c>
      <c r="D2560" s="291"/>
      <c r="E2560" s="291"/>
      <c r="F2560" s="291"/>
      <c r="G2560" s="291"/>
      <c r="H2560" s="292"/>
      <c r="I2560" s="44">
        <f>I2561</f>
        <v>202050</v>
      </c>
      <c r="J2560" s="44">
        <f t="shared" ref="J2560:R2560" si="714">J2561</f>
        <v>158700</v>
      </c>
      <c r="K2560" s="44">
        <f t="shared" si="714"/>
        <v>162700</v>
      </c>
      <c r="L2560" s="44">
        <f t="shared" si="714"/>
        <v>128565</v>
      </c>
      <c r="M2560" s="44">
        <f t="shared" si="714"/>
        <v>133422</v>
      </c>
      <c r="N2560" s="44">
        <f t="shared" si="714"/>
        <v>2355000</v>
      </c>
      <c r="O2560" s="44">
        <f t="shared" si="714"/>
        <v>0</v>
      </c>
      <c r="P2560" s="44">
        <f t="shared" si="714"/>
        <v>0</v>
      </c>
      <c r="Q2560" s="44">
        <f t="shared" si="714"/>
        <v>0</v>
      </c>
      <c r="R2560" s="44">
        <f t="shared" si="714"/>
        <v>107833</v>
      </c>
      <c r="T2560" s="44">
        <f>N2560+I2560</f>
        <v>2557050</v>
      </c>
    </row>
    <row r="2561" spans="2:20" ht="19.5" customHeight="1" x14ac:dyDescent="0.25">
      <c r="B2561" s="97">
        <f>B2560+1</f>
        <v>2</v>
      </c>
      <c r="C2561" s="45">
        <v>1</v>
      </c>
      <c r="D2561" s="293" t="s">
        <v>656</v>
      </c>
      <c r="E2561" s="294"/>
      <c r="F2561" s="294"/>
      <c r="G2561" s="294"/>
      <c r="H2561" s="295"/>
      <c r="I2561" s="46">
        <f>I2562+I2571+I2586</f>
        <v>202050</v>
      </c>
      <c r="J2561" s="46">
        <f t="shared" ref="J2561:R2561" si="715">J2562+J2571+J2586</f>
        <v>158700</v>
      </c>
      <c r="K2561" s="46">
        <f t="shared" si="715"/>
        <v>162700</v>
      </c>
      <c r="L2561" s="46">
        <f t="shared" si="715"/>
        <v>128565</v>
      </c>
      <c r="M2561" s="46">
        <f t="shared" si="715"/>
        <v>133422</v>
      </c>
      <c r="N2561" s="46">
        <f t="shared" si="715"/>
        <v>2355000</v>
      </c>
      <c r="O2561" s="46">
        <f t="shared" si="715"/>
        <v>0</v>
      </c>
      <c r="P2561" s="46">
        <f t="shared" si="715"/>
        <v>0</v>
      </c>
      <c r="Q2561" s="46">
        <f t="shared" si="715"/>
        <v>0</v>
      </c>
      <c r="R2561" s="46">
        <f t="shared" si="715"/>
        <v>107833</v>
      </c>
      <c r="T2561" s="46">
        <f t="shared" ref="T2561" si="716">T2562+T2571+T2586</f>
        <v>2557050</v>
      </c>
    </row>
    <row r="2562" spans="2:20" x14ac:dyDescent="0.25">
      <c r="B2562" s="97">
        <f>B2561+1</f>
        <v>3</v>
      </c>
      <c r="C2562" s="47"/>
      <c r="D2562" s="47">
        <v>1</v>
      </c>
      <c r="E2562" s="296" t="s">
        <v>657</v>
      </c>
      <c r="F2562" s="294"/>
      <c r="G2562" s="294"/>
      <c r="H2562" s="295"/>
      <c r="I2562" s="48">
        <f>I2565+I2568</f>
        <v>165600</v>
      </c>
      <c r="J2562" s="48">
        <f t="shared" ref="J2562:M2563" si="717">J2563</f>
        <v>125000</v>
      </c>
      <c r="K2562" s="48">
        <f t="shared" si="717"/>
        <v>129000</v>
      </c>
      <c r="L2562" s="48">
        <f t="shared" si="717"/>
        <v>101977</v>
      </c>
      <c r="M2562" s="48">
        <f t="shared" si="717"/>
        <v>107315</v>
      </c>
      <c r="N2562" s="48">
        <v>0</v>
      </c>
      <c r="O2562" s="48">
        <f t="shared" ref="O2562:R2563" si="718">O2563</f>
        <v>0</v>
      </c>
      <c r="P2562" s="48">
        <f t="shared" si="718"/>
        <v>0</v>
      </c>
      <c r="Q2562" s="48">
        <f t="shared" si="718"/>
        <v>0</v>
      </c>
      <c r="R2562" s="48">
        <f t="shared" si="718"/>
        <v>0</v>
      </c>
      <c r="T2562" s="48">
        <f t="shared" ref="T2562:T2589" si="719">N2562+I2562</f>
        <v>165600</v>
      </c>
    </row>
    <row r="2563" spans="2:20" hidden="1" x14ac:dyDescent="0.25">
      <c r="B2563" s="97">
        <f t="shared" ref="B2563:B2582" si="720">B2562+1</f>
        <v>4</v>
      </c>
      <c r="C2563" s="49"/>
      <c r="D2563" s="49"/>
      <c r="E2563" s="49"/>
      <c r="F2563" s="49"/>
      <c r="G2563" s="123"/>
      <c r="H2563" s="49" t="s">
        <v>12</v>
      </c>
      <c r="I2563" s="50" t="e">
        <f>#REF!+#REF!</f>
        <v>#REF!</v>
      </c>
      <c r="J2563" s="50">
        <f t="shared" si="717"/>
        <v>125000</v>
      </c>
      <c r="K2563" s="50">
        <f t="shared" si="717"/>
        <v>129000</v>
      </c>
      <c r="L2563" s="50">
        <f t="shared" si="717"/>
        <v>101977</v>
      </c>
      <c r="M2563" s="50">
        <f t="shared" si="717"/>
        <v>107315</v>
      </c>
      <c r="N2563" s="50" t="e">
        <f>#REF!+#REF!</f>
        <v>#REF!</v>
      </c>
      <c r="O2563" s="50">
        <f t="shared" si="718"/>
        <v>0</v>
      </c>
      <c r="P2563" s="50">
        <f t="shared" si="718"/>
        <v>0</v>
      </c>
      <c r="Q2563" s="50">
        <f t="shared" si="718"/>
        <v>0</v>
      </c>
      <c r="R2563" s="50">
        <f t="shared" si="718"/>
        <v>0</v>
      </c>
      <c r="T2563" s="50" t="e">
        <f t="shared" si="719"/>
        <v>#REF!</v>
      </c>
    </row>
    <row r="2564" spans="2:20" hidden="1" x14ac:dyDescent="0.25">
      <c r="B2564" s="97">
        <f t="shared" si="720"/>
        <v>5</v>
      </c>
      <c r="C2564" s="51"/>
      <c r="D2564" s="51"/>
      <c r="E2564" s="51" t="s">
        <v>60</v>
      </c>
      <c r="F2564" s="51"/>
      <c r="G2564" s="124"/>
      <c r="H2564" s="51"/>
      <c r="I2564" s="52" t="e">
        <f>#REF!+#REF!</f>
        <v>#REF!</v>
      </c>
      <c r="J2564" s="52">
        <f t="shared" ref="J2564:R2564" si="721">J2568+J2565</f>
        <v>125000</v>
      </c>
      <c r="K2564" s="52">
        <f t="shared" si="721"/>
        <v>129000</v>
      </c>
      <c r="L2564" s="52">
        <f t="shared" si="721"/>
        <v>101977</v>
      </c>
      <c r="M2564" s="52">
        <f t="shared" si="721"/>
        <v>107315</v>
      </c>
      <c r="N2564" s="52" t="e">
        <f>#REF!+#REF!</f>
        <v>#REF!</v>
      </c>
      <c r="O2564" s="52">
        <f t="shared" si="721"/>
        <v>0</v>
      </c>
      <c r="P2564" s="52">
        <f t="shared" si="721"/>
        <v>0</v>
      </c>
      <c r="Q2564" s="52">
        <f t="shared" si="721"/>
        <v>0</v>
      </c>
      <c r="R2564" s="52">
        <f t="shared" si="721"/>
        <v>0</v>
      </c>
      <c r="T2564" s="52" t="e">
        <f t="shared" si="719"/>
        <v>#REF!</v>
      </c>
    </row>
    <row r="2565" spans="2:20" x14ac:dyDescent="0.25">
      <c r="B2565" s="97">
        <f t="shared" si="720"/>
        <v>6</v>
      </c>
      <c r="C2565" s="29"/>
      <c r="D2565" s="29"/>
      <c r="E2565" s="29"/>
      <c r="F2565" s="53" t="s">
        <v>357</v>
      </c>
      <c r="G2565" s="125">
        <v>630</v>
      </c>
      <c r="H2565" s="29" t="s">
        <v>303</v>
      </c>
      <c r="I2565" s="15">
        <f>I2566+I2567</f>
        <v>130600</v>
      </c>
      <c r="J2565" s="15">
        <f t="shared" ref="J2565:M2565" si="722">J2567+J2566</f>
        <v>95000</v>
      </c>
      <c r="K2565" s="15">
        <f t="shared" si="722"/>
        <v>99000</v>
      </c>
      <c r="L2565" s="15">
        <f t="shared" si="722"/>
        <v>79013</v>
      </c>
      <c r="M2565" s="15">
        <f t="shared" si="722"/>
        <v>83407</v>
      </c>
      <c r="N2565" s="15"/>
      <c r="O2565" s="15"/>
      <c r="P2565" s="15"/>
      <c r="Q2565" s="15"/>
      <c r="R2565" s="15"/>
      <c r="T2565" s="15">
        <f t="shared" si="719"/>
        <v>130600</v>
      </c>
    </row>
    <row r="2566" spans="2:20" x14ac:dyDescent="0.25">
      <c r="B2566" s="97">
        <f t="shared" si="720"/>
        <v>7</v>
      </c>
      <c r="C2566" s="9"/>
      <c r="D2566" s="9"/>
      <c r="E2566" s="9"/>
      <c r="F2566" s="54" t="s">
        <v>357</v>
      </c>
      <c r="G2566" s="126">
        <v>636</v>
      </c>
      <c r="H2566" s="9" t="s">
        <v>307</v>
      </c>
      <c r="I2566" s="10">
        <v>21600</v>
      </c>
      <c r="J2566" s="10">
        <v>0</v>
      </c>
      <c r="K2566" s="10">
        <v>0</v>
      </c>
      <c r="L2566" s="10">
        <v>0</v>
      </c>
      <c r="M2566" s="10">
        <v>0</v>
      </c>
      <c r="N2566" s="10"/>
      <c r="O2566" s="10"/>
      <c r="P2566" s="10"/>
      <c r="Q2566" s="10"/>
      <c r="R2566" s="10"/>
      <c r="T2566" s="10">
        <f t="shared" si="719"/>
        <v>21600</v>
      </c>
    </row>
    <row r="2567" spans="2:20" x14ac:dyDescent="0.25">
      <c r="B2567" s="97">
        <f t="shared" si="720"/>
        <v>8</v>
      </c>
      <c r="C2567" s="9"/>
      <c r="D2567" s="9"/>
      <c r="E2567" s="9"/>
      <c r="F2567" s="54" t="s">
        <v>357</v>
      </c>
      <c r="G2567" s="126">
        <v>637</v>
      </c>
      <c r="H2567" s="9" t="s">
        <v>308</v>
      </c>
      <c r="I2567" s="10">
        <v>109000</v>
      </c>
      <c r="J2567" s="10">
        <v>95000</v>
      </c>
      <c r="K2567" s="10">
        <f>95000+4000</f>
        <v>99000</v>
      </c>
      <c r="L2567" s="10">
        <v>79013</v>
      </c>
      <c r="M2567" s="10">
        <v>83407</v>
      </c>
      <c r="N2567" s="10"/>
      <c r="O2567" s="10"/>
      <c r="P2567" s="10"/>
      <c r="Q2567" s="10"/>
      <c r="R2567" s="10"/>
      <c r="T2567" s="10">
        <f t="shared" si="719"/>
        <v>109000</v>
      </c>
    </row>
    <row r="2568" spans="2:20" x14ac:dyDescent="0.25">
      <c r="B2568" s="97">
        <f t="shared" si="720"/>
        <v>9</v>
      </c>
      <c r="C2568" s="29"/>
      <c r="D2568" s="29"/>
      <c r="E2568" s="29"/>
      <c r="F2568" s="53" t="s">
        <v>357</v>
      </c>
      <c r="G2568" s="125">
        <v>640</v>
      </c>
      <c r="H2568" s="29" t="s">
        <v>315</v>
      </c>
      <c r="I2568" s="15">
        <f>I2569</f>
        <v>35000</v>
      </c>
      <c r="J2568" s="15">
        <f t="shared" ref="J2568:M2568" si="723">J2569</f>
        <v>30000</v>
      </c>
      <c r="K2568" s="15">
        <f t="shared" si="723"/>
        <v>30000</v>
      </c>
      <c r="L2568" s="15">
        <f t="shared" si="723"/>
        <v>22964</v>
      </c>
      <c r="M2568" s="15">
        <f t="shared" si="723"/>
        <v>23908</v>
      </c>
      <c r="N2568" s="15"/>
      <c r="O2568" s="15"/>
      <c r="P2568" s="15"/>
      <c r="Q2568" s="15"/>
      <c r="R2568" s="15"/>
      <c r="T2568" s="15">
        <f t="shared" si="719"/>
        <v>35000</v>
      </c>
    </row>
    <row r="2569" spans="2:20" x14ac:dyDescent="0.25">
      <c r="B2569" s="97">
        <f t="shared" si="720"/>
        <v>10</v>
      </c>
      <c r="C2569" s="9"/>
      <c r="D2569" s="9"/>
      <c r="E2569" s="9"/>
      <c r="F2569" s="54" t="s">
        <v>357</v>
      </c>
      <c r="G2569" s="126">
        <v>642</v>
      </c>
      <c r="H2569" s="9" t="s">
        <v>316</v>
      </c>
      <c r="I2569" s="10">
        <v>35000</v>
      </c>
      <c r="J2569" s="10">
        <v>30000</v>
      </c>
      <c r="K2569" s="10">
        <v>30000</v>
      </c>
      <c r="L2569" s="10">
        <v>22964</v>
      </c>
      <c r="M2569" s="10">
        <v>23908</v>
      </c>
      <c r="N2569" s="10"/>
      <c r="O2569" s="10"/>
      <c r="P2569" s="10"/>
      <c r="Q2569" s="10"/>
      <c r="R2569" s="10"/>
      <c r="T2569" s="10">
        <f t="shared" si="719"/>
        <v>35000</v>
      </c>
    </row>
    <row r="2570" spans="2:20" x14ac:dyDescent="0.25">
      <c r="B2570" s="97">
        <f t="shared" si="720"/>
        <v>11</v>
      </c>
      <c r="C2570" s="47"/>
      <c r="D2570" s="47">
        <v>2</v>
      </c>
      <c r="E2570" s="296" t="s">
        <v>786</v>
      </c>
      <c r="F2570" s="294"/>
      <c r="G2570" s="294"/>
      <c r="H2570" s="295"/>
      <c r="I2570" s="48">
        <v>0</v>
      </c>
      <c r="J2570" s="48">
        <v>0</v>
      </c>
      <c r="K2570" s="48">
        <v>0</v>
      </c>
      <c r="L2570" s="48">
        <v>0</v>
      </c>
      <c r="M2570" s="48">
        <v>0</v>
      </c>
      <c r="N2570" s="48">
        <f>N2582</f>
        <v>0</v>
      </c>
      <c r="O2570" s="48">
        <f t="shared" ref="O2570:R2572" si="724">O2571</f>
        <v>0</v>
      </c>
      <c r="P2570" s="48">
        <f t="shared" si="724"/>
        <v>0</v>
      </c>
      <c r="Q2570" s="48">
        <f t="shared" si="724"/>
        <v>0</v>
      </c>
      <c r="R2570" s="48">
        <f t="shared" si="724"/>
        <v>0</v>
      </c>
      <c r="T2570" s="48">
        <f t="shared" si="719"/>
        <v>0</v>
      </c>
    </row>
    <row r="2571" spans="2:20" x14ac:dyDescent="0.25">
      <c r="B2571" s="97">
        <f t="shared" si="720"/>
        <v>12</v>
      </c>
      <c r="C2571" s="47"/>
      <c r="D2571" s="47">
        <v>3</v>
      </c>
      <c r="E2571" s="296" t="s">
        <v>658</v>
      </c>
      <c r="F2571" s="294"/>
      <c r="G2571" s="294"/>
      <c r="H2571" s="295"/>
      <c r="I2571" s="48">
        <f>I2574+I2575+I2576+I2581</f>
        <v>36450</v>
      </c>
      <c r="J2571" s="48">
        <f t="shared" ref="J2571:M2572" si="725">J2572</f>
        <v>33700</v>
      </c>
      <c r="K2571" s="48">
        <f t="shared" si="725"/>
        <v>33700</v>
      </c>
      <c r="L2571" s="48">
        <f t="shared" si="725"/>
        <v>26588</v>
      </c>
      <c r="M2571" s="48">
        <f t="shared" si="725"/>
        <v>26107</v>
      </c>
      <c r="N2571" s="48">
        <f>N2583</f>
        <v>2355000</v>
      </c>
      <c r="O2571" s="48">
        <f t="shared" si="724"/>
        <v>0</v>
      </c>
      <c r="P2571" s="48">
        <f t="shared" si="724"/>
        <v>0</v>
      </c>
      <c r="Q2571" s="48">
        <f t="shared" si="724"/>
        <v>0</v>
      </c>
      <c r="R2571" s="48">
        <f t="shared" si="724"/>
        <v>0</v>
      </c>
      <c r="T2571" s="48">
        <f t="shared" si="719"/>
        <v>2391450</v>
      </c>
    </row>
    <row r="2572" spans="2:20" hidden="1" x14ac:dyDescent="0.25">
      <c r="B2572" s="97">
        <f t="shared" si="720"/>
        <v>13</v>
      </c>
      <c r="C2572" s="49"/>
      <c r="D2572" s="49"/>
      <c r="E2572" s="49"/>
      <c r="F2572" s="49"/>
      <c r="G2572" s="123"/>
      <c r="H2572" s="49" t="s">
        <v>12</v>
      </c>
      <c r="I2572" s="50" t="e">
        <f>#REF!+#REF!</f>
        <v>#REF!</v>
      </c>
      <c r="J2572" s="50">
        <f t="shared" si="725"/>
        <v>33700</v>
      </c>
      <c r="K2572" s="50">
        <f t="shared" si="725"/>
        <v>33700</v>
      </c>
      <c r="L2572" s="50">
        <f t="shared" si="725"/>
        <v>26588</v>
      </c>
      <c r="M2572" s="50">
        <f t="shared" si="725"/>
        <v>26107</v>
      </c>
      <c r="N2572" s="50" t="e">
        <f>#REF!+#REF!</f>
        <v>#REF!</v>
      </c>
      <c r="O2572" s="50">
        <f t="shared" si="724"/>
        <v>0</v>
      </c>
      <c r="P2572" s="50">
        <f t="shared" si="724"/>
        <v>0</v>
      </c>
      <c r="Q2572" s="50">
        <f t="shared" si="724"/>
        <v>0</v>
      </c>
      <c r="R2572" s="50">
        <f t="shared" si="724"/>
        <v>0</v>
      </c>
      <c r="T2572" s="50" t="e">
        <f t="shared" si="719"/>
        <v>#REF!</v>
      </c>
    </row>
    <row r="2573" spans="2:20" hidden="1" x14ac:dyDescent="0.25">
      <c r="B2573" s="97">
        <f t="shared" si="720"/>
        <v>14</v>
      </c>
      <c r="C2573" s="51"/>
      <c r="D2573" s="51"/>
      <c r="E2573" s="51" t="s">
        <v>60</v>
      </c>
      <c r="F2573" s="51"/>
      <c r="G2573" s="124"/>
      <c r="H2573" s="51"/>
      <c r="I2573" s="52" t="e">
        <f>#REF!+#REF!</f>
        <v>#REF!</v>
      </c>
      <c r="J2573" s="52">
        <f t="shared" ref="J2573:R2573" si="726">J2581+J2576+J2575+J2574</f>
        <v>33700</v>
      </c>
      <c r="K2573" s="52">
        <f t="shared" si="726"/>
        <v>33700</v>
      </c>
      <c r="L2573" s="52">
        <f t="shared" si="726"/>
        <v>26588</v>
      </c>
      <c r="M2573" s="52">
        <f t="shared" si="726"/>
        <v>26107</v>
      </c>
      <c r="N2573" s="52" t="e">
        <f>#REF!+#REF!</f>
        <v>#REF!</v>
      </c>
      <c r="O2573" s="52">
        <f t="shared" si="726"/>
        <v>0</v>
      </c>
      <c r="P2573" s="52">
        <f t="shared" si="726"/>
        <v>0</v>
      </c>
      <c r="Q2573" s="52">
        <f t="shared" si="726"/>
        <v>0</v>
      </c>
      <c r="R2573" s="52">
        <f t="shared" si="726"/>
        <v>0</v>
      </c>
      <c r="T2573" s="52" t="e">
        <f t="shared" si="719"/>
        <v>#REF!</v>
      </c>
    </row>
    <row r="2574" spans="2:20" x14ac:dyDescent="0.25">
      <c r="B2574" s="97">
        <f t="shared" si="720"/>
        <v>15</v>
      </c>
      <c r="C2574" s="29"/>
      <c r="D2574" s="29"/>
      <c r="E2574" s="29"/>
      <c r="F2574" s="53" t="s">
        <v>659</v>
      </c>
      <c r="G2574" s="125">
        <v>610</v>
      </c>
      <c r="H2574" s="29" t="s">
        <v>338</v>
      </c>
      <c r="I2574" s="15">
        <v>25000</v>
      </c>
      <c r="J2574" s="15">
        <v>23000</v>
      </c>
      <c r="K2574" s="15">
        <v>23000</v>
      </c>
      <c r="L2574" s="15">
        <v>16411</v>
      </c>
      <c r="M2574" s="15">
        <v>17512</v>
      </c>
      <c r="N2574" s="15"/>
      <c r="O2574" s="15"/>
      <c r="P2574" s="15"/>
      <c r="Q2574" s="15"/>
      <c r="R2574" s="15"/>
      <c r="T2574" s="15">
        <f t="shared" si="719"/>
        <v>25000</v>
      </c>
    </row>
    <row r="2575" spans="2:20" x14ac:dyDescent="0.25">
      <c r="B2575" s="97">
        <f t="shared" si="720"/>
        <v>16</v>
      </c>
      <c r="C2575" s="29"/>
      <c r="D2575" s="29"/>
      <c r="E2575" s="29"/>
      <c r="F2575" s="53" t="s">
        <v>659</v>
      </c>
      <c r="G2575" s="125">
        <v>620</v>
      </c>
      <c r="H2575" s="29" t="s">
        <v>313</v>
      </c>
      <c r="I2575" s="15">
        <v>9500</v>
      </c>
      <c r="J2575" s="15">
        <v>8750</v>
      </c>
      <c r="K2575" s="15">
        <v>8750</v>
      </c>
      <c r="L2575" s="15">
        <v>6042</v>
      </c>
      <c r="M2575" s="15">
        <v>6352</v>
      </c>
      <c r="N2575" s="15"/>
      <c r="O2575" s="15"/>
      <c r="P2575" s="15"/>
      <c r="Q2575" s="15"/>
      <c r="R2575" s="15"/>
      <c r="T2575" s="15">
        <f t="shared" si="719"/>
        <v>9500</v>
      </c>
    </row>
    <row r="2576" spans="2:20" x14ac:dyDescent="0.25">
      <c r="B2576" s="97">
        <f t="shared" si="720"/>
        <v>17</v>
      </c>
      <c r="C2576" s="29"/>
      <c r="D2576" s="29"/>
      <c r="E2576" s="29"/>
      <c r="F2576" s="53" t="s">
        <v>659</v>
      </c>
      <c r="G2576" s="125">
        <v>630</v>
      </c>
      <c r="H2576" s="29" t="s">
        <v>303</v>
      </c>
      <c r="I2576" s="15">
        <f>I2577+I2578+I2579+I2580</f>
        <v>1950</v>
      </c>
      <c r="J2576" s="15">
        <f t="shared" ref="J2576:M2576" si="727">J2580+J2579+J2578+J2577</f>
        <v>1950</v>
      </c>
      <c r="K2576" s="15">
        <f t="shared" si="727"/>
        <v>1950</v>
      </c>
      <c r="L2576" s="15">
        <f t="shared" si="727"/>
        <v>4078</v>
      </c>
      <c r="M2576" s="15">
        <f t="shared" si="727"/>
        <v>2066</v>
      </c>
      <c r="N2576" s="15"/>
      <c r="O2576" s="15"/>
      <c r="P2576" s="15"/>
      <c r="Q2576" s="15"/>
      <c r="R2576" s="15"/>
      <c r="T2576" s="15">
        <f t="shared" si="719"/>
        <v>1950</v>
      </c>
    </row>
    <row r="2577" spans="2:20" x14ac:dyDescent="0.25">
      <c r="B2577" s="97">
        <f t="shared" si="720"/>
        <v>18</v>
      </c>
      <c r="C2577" s="9"/>
      <c r="D2577" s="9"/>
      <c r="E2577" s="9"/>
      <c r="F2577" s="54" t="s">
        <v>659</v>
      </c>
      <c r="G2577" s="126">
        <v>632</v>
      </c>
      <c r="H2577" s="9" t="s">
        <v>314</v>
      </c>
      <c r="I2577" s="10">
        <v>150</v>
      </c>
      <c r="J2577" s="10">
        <v>150</v>
      </c>
      <c r="K2577" s="10">
        <v>150</v>
      </c>
      <c r="L2577" s="10">
        <v>197</v>
      </c>
      <c r="M2577" s="10">
        <v>376</v>
      </c>
      <c r="N2577" s="10"/>
      <c r="O2577" s="10"/>
      <c r="P2577" s="10"/>
      <c r="Q2577" s="10"/>
      <c r="R2577" s="10"/>
      <c r="T2577" s="10">
        <f t="shared" si="719"/>
        <v>150</v>
      </c>
    </row>
    <row r="2578" spans="2:20" x14ac:dyDescent="0.25">
      <c r="B2578" s="97">
        <f t="shared" si="720"/>
        <v>19</v>
      </c>
      <c r="C2578" s="9"/>
      <c r="D2578" s="9"/>
      <c r="E2578" s="9"/>
      <c r="F2578" s="54" t="s">
        <v>659</v>
      </c>
      <c r="G2578" s="126">
        <v>633</v>
      </c>
      <c r="H2578" s="9" t="s">
        <v>305</v>
      </c>
      <c r="I2578" s="10">
        <v>500</v>
      </c>
      <c r="J2578" s="10">
        <v>500</v>
      </c>
      <c r="K2578" s="10">
        <v>500</v>
      </c>
      <c r="L2578" s="10">
        <v>3040</v>
      </c>
      <c r="M2578" s="10">
        <v>662</v>
      </c>
      <c r="N2578" s="10"/>
      <c r="O2578" s="10"/>
      <c r="P2578" s="10"/>
      <c r="Q2578" s="10"/>
      <c r="R2578" s="10"/>
      <c r="T2578" s="10">
        <f t="shared" si="719"/>
        <v>500</v>
      </c>
    </row>
    <row r="2579" spans="2:20" x14ac:dyDescent="0.25">
      <c r="B2579" s="97">
        <f t="shared" si="720"/>
        <v>20</v>
      </c>
      <c r="C2579" s="9"/>
      <c r="D2579" s="9"/>
      <c r="E2579" s="9"/>
      <c r="F2579" s="54" t="s">
        <v>659</v>
      </c>
      <c r="G2579" s="126">
        <v>635</v>
      </c>
      <c r="H2579" s="9" t="s">
        <v>320</v>
      </c>
      <c r="I2579" s="10">
        <v>200</v>
      </c>
      <c r="J2579" s="10">
        <v>200</v>
      </c>
      <c r="K2579" s="10">
        <v>200</v>
      </c>
      <c r="L2579" s="10">
        <v>192</v>
      </c>
      <c r="M2579" s="10">
        <v>0</v>
      </c>
      <c r="N2579" s="10"/>
      <c r="O2579" s="10"/>
      <c r="P2579" s="10"/>
      <c r="Q2579" s="10"/>
      <c r="R2579" s="10"/>
      <c r="T2579" s="10">
        <f t="shared" si="719"/>
        <v>200</v>
      </c>
    </row>
    <row r="2580" spans="2:20" x14ac:dyDescent="0.25">
      <c r="B2580" s="97">
        <f t="shared" si="720"/>
        <v>21</v>
      </c>
      <c r="C2580" s="9"/>
      <c r="D2580" s="9"/>
      <c r="E2580" s="9"/>
      <c r="F2580" s="54" t="s">
        <v>659</v>
      </c>
      <c r="G2580" s="126">
        <v>637</v>
      </c>
      <c r="H2580" s="9" t="s">
        <v>308</v>
      </c>
      <c r="I2580" s="10">
        <v>1100</v>
      </c>
      <c r="J2580" s="10">
        <v>1100</v>
      </c>
      <c r="K2580" s="10">
        <v>1100</v>
      </c>
      <c r="L2580" s="10">
        <v>649</v>
      </c>
      <c r="M2580" s="10">
        <v>1028</v>
      </c>
      <c r="N2580" s="10"/>
      <c r="O2580" s="10"/>
      <c r="P2580" s="10"/>
      <c r="Q2580" s="10"/>
      <c r="R2580" s="10"/>
      <c r="T2580" s="10">
        <f t="shared" si="719"/>
        <v>1100</v>
      </c>
    </row>
    <row r="2581" spans="2:20" x14ac:dyDescent="0.25">
      <c r="B2581" s="97">
        <f t="shared" si="720"/>
        <v>22</v>
      </c>
      <c r="C2581" s="29"/>
      <c r="D2581" s="29"/>
      <c r="E2581" s="29"/>
      <c r="F2581" s="53" t="s">
        <v>659</v>
      </c>
      <c r="G2581" s="125">
        <v>640</v>
      </c>
      <c r="H2581" s="29" t="s">
        <v>315</v>
      </c>
      <c r="I2581" s="15">
        <f>I2582</f>
        <v>0</v>
      </c>
      <c r="J2581" s="15">
        <f t="shared" ref="J2581:M2581" si="728">J2582</f>
        <v>0</v>
      </c>
      <c r="K2581" s="15">
        <f t="shared" si="728"/>
        <v>0</v>
      </c>
      <c r="L2581" s="15">
        <f t="shared" si="728"/>
        <v>57</v>
      </c>
      <c r="M2581" s="15">
        <f t="shared" si="728"/>
        <v>177</v>
      </c>
      <c r="N2581" s="15"/>
      <c r="O2581" s="15"/>
      <c r="P2581" s="15"/>
      <c r="Q2581" s="15"/>
      <c r="R2581" s="15"/>
      <c r="T2581" s="15">
        <f t="shared" si="719"/>
        <v>0</v>
      </c>
    </row>
    <row r="2582" spans="2:20" x14ac:dyDescent="0.25">
      <c r="B2582" s="97">
        <f t="shared" si="720"/>
        <v>23</v>
      </c>
      <c r="C2582" s="9"/>
      <c r="D2582" s="9"/>
      <c r="E2582" s="9"/>
      <c r="F2582" s="54" t="s">
        <v>659</v>
      </c>
      <c r="G2582" s="126">
        <v>642</v>
      </c>
      <c r="H2582" s="65" t="s">
        <v>316</v>
      </c>
      <c r="I2582" s="10">
        <v>0</v>
      </c>
      <c r="J2582" s="10">
        <v>0</v>
      </c>
      <c r="K2582" s="10">
        <v>0</v>
      </c>
      <c r="L2582" s="10">
        <v>57</v>
      </c>
      <c r="M2582" s="10">
        <v>177</v>
      </c>
      <c r="N2582" s="10"/>
      <c r="O2582" s="10"/>
      <c r="P2582" s="10"/>
      <c r="Q2582" s="10"/>
      <c r="R2582" s="10"/>
      <c r="T2582" s="10">
        <f t="shared" si="719"/>
        <v>0</v>
      </c>
    </row>
    <row r="2583" spans="2:20" x14ac:dyDescent="0.25">
      <c r="B2583" s="97">
        <f t="shared" ref="B2583:B2589" si="729">B2582+1</f>
        <v>24</v>
      </c>
      <c r="C2583" s="9"/>
      <c r="D2583" s="9"/>
      <c r="E2583" s="9"/>
      <c r="F2583" s="53" t="s">
        <v>659</v>
      </c>
      <c r="G2583" s="125">
        <v>710</v>
      </c>
      <c r="H2583" s="113" t="s">
        <v>321</v>
      </c>
      <c r="I2583" s="15"/>
      <c r="J2583" s="15"/>
      <c r="K2583" s="15"/>
      <c r="L2583" s="15"/>
      <c r="M2583" s="15"/>
      <c r="N2583" s="15">
        <f>N2584</f>
        <v>2355000</v>
      </c>
      <c r="O2583" s="15"/>
      <c r="P2583" s="15"/>
      <c r="Q2583" s="15"/>
      <c r="R2583" s="15"/>
      <c r="T2583" s="15">
        <f t="shared" si="719"/>
        <v>2355000</v>
      </c>
    </row>
    <row r="2584" spans="2:20" x14ac:dyDescent="0.25">
      <c r="B2584" s="97">
        <f t="shared" si="729"/>
        <v>25</v>
      </c>
      <c r="C2584" s="9"/>
      <c r="D2584" s="9"/>
      <c r="E2584" s="9"/>
      <c r="F2584" s="54" t="s">
        <v>659</v>
      </c>
      <c r="G2584" s="126">
        <v>712</v>
      </c>
      <c r="H2584" s="65" t="s">
        <v>351</v>
      </c>
      <c r="I2584" s="10"/>
      <c r="J2584" s="10"/>
      <c r="K2584" s="10"/>
      <c r="L2584" s="10"/>
      <c r="M2584" s="10"/>
      <c r="N2584" s="10">
        <f>N2585</f>
        <v>2355000</v>
      </c>
      <c r="O2584" s="10"/>
      <c r="P2584" s="10"/>
      <c r="Q2584" s="65"/>
      <c r="R2584" s="10"/>
      <c r="T2584" s="10">
        <f t="shared" si="719"/>
        <v>2355000</v>
      </c>
    </row>
    <row r="2585" spans="2:20" x14ac:dyDescent="0.25">
      <c r="B2585" s="97">
        <f t="shared" si="729"/>
        <v>26</v>
      </c>
      <c r="C2585" s="9"/>
      <c r="D2585" s="9"/>
      <c r="E2585" s="9"/>
      <c r="F2585" s="54"/>
      <c r="G2585" s="126"/>
      <c r="H2585" s="112" t="s">
        <v>662</v>
      </c>
      <c r="I2585" s="108"/>
      <c r="J2585" s="108"/>
      <c r="K2585" s="108"/>
      <c r="L2585" s="108"/>
      <c r="M2585" s="108"/>
      <c r="N2585" s="108">
        <v>2355000</v>
      </c>
      <c r="O2585" s="108"/>
      <c r="P2585" s="108"/>
      <c r="Q2585" s="108"/>
      <c r="R2585" s="108"/>
      <c r="T2585" s="108">
        <f t="shared" si="719"/>
        <v>2355000</v>
      </c>
    </row>
    <row r="2586" spans="2:20" x14ac:dyDescent="0.25">
      <c r="B2586" s="97">
        <f t="shared" si="729"/>
        <v>27</v>
      </c>
      <c r="C2586" s="47"/>
      <c r="D2586" s="47"/>
      <c r="E2586" s="296" t="s">
        <v>660</v>
      </c>
      <c r="F2586" s="294"/>
      <c r="G2586" s="294"/>
      <c r="H2586" s="295"/>
      <c r="I2586" s="48"/>
      <c r="J2586" s="48"/>
      <c r="K2586" s="48"/>
      <c r="L2586" s="48"/>
      <c r="M2586" s="48"/>
      <c r="N2586" s="48">
        <f>N2589</f>
        <v>0</v>
      </c>
      <c r="O2586" s="48">
        <f t="shared" ref="O2586:Q2586" si="730">O2587</f>
        <v>0</v>
      </c>
      <c r="P2586" s="48">
        <f t="shared" si="730"/>
        <v>0</v>
      </c>
      <c r="Q2586" s="48">
        <f t="shared" si="730"/>
        <v>0</v>
      </c>
      <c r="R2586" s="48">
        <f>R2587+R2588+R2589</f>
        <v>107833</v>
      </c>
      <c r="T2586" s="48">
        <f t="shared" si="719"/>
        <v>0</v>
      </c>
    </row>
    <row r="2587" spans="2:20" x14ac:dyDescent="0.25">
      <c r="B2587" s="97">
        <f t="shared" si="729"/>
        <v>28</v>
      </c>
      <c r="C2587" s="66"/>
      <c r="D2587" s="66"/>
      <c r="E2587" s="66"/>
      <c r="F2587" s="54" t="s">
        <v>659</v>
      </c>
      <c r="G2587" s="134">
        <v>716</v>
      </c>
      <c r="H2587" s="9" t="s">
        <v>661</v>
      </c>
      <c r="I2587" s="111"/>
      <c r="J2587" s="111"/>
      <c r="K2587" s="111"/>
      <c r="L2587" s="111"/>
      <c r="M2587" s="111"/>
      <c r="N2587" s="111"/>
      <c r="O2587" s="111"/>
      <c r="P2587" s="111"/>
      <c r="Q2587" s="111"/>
      <c r="R2587" s="111">
        <v>9574</v>
      </c>
      <c r="T2587" s="111">
        <f t="shared" si="719"/>
        <v>0</v>
      </c>
    </row>
    <row r="2588" spans="2:20" x14ac:dyDescent="0.25">
      <c r="B2588" s="97">
        <f t="shared" si="729"/>
        <v>29</v>
      </c>
      <c r="C2588" s="66"/>
      <c r="D2588" s="66"/>
      <c r="E2588" s="66"/>
      <c r="F2588" s="54" t="s">
        <v>659</v>
      </c>
      <c r="G2588" s="134">
        <v>717</v>
      </c>
      <c r="H2588" s="9" t="s">
        <v>661</v>
      </c>
      <c r="I2588" s="111"/>
      <c r="J2588" s="111"/>
      <c r="K2588" s="111"/>
      <c r="L2588" s="111"/>
      <c r="M2588" s="111"/>
      <c r="N2588" s="111"/>
      <c r="O2588" s="111"/>
      <c r="P2588" s="111"/>
      <c r="Q2588" s="111"/>
      <c r="R2588" s="111">
        <v>47802</v>
      </c>
      <c r="T2588" s="111">
        <f t="shared" si="719"/>
        <v>0</v>
      </c>
    </row>
    <row r="2589" spans="2:20" x14ac:dyDescent="0.25">
      <c r="B2589" s="97">
        <f t="shared" si="729"/>
        <v>30</v>
      </c>
      <c r="C2589" s="66"/>
      <c r="D2589" s="66"/>
      <c r="E2589" s="66"/>
      <c r="F2589" s="54" t="s">
        <v>378</v>
      </c>
      <c r="G2589" s="134">
        <v>711</v>
      </c>
      <c r="H2589" s="9" t="s">
        <v>322</v>
      </c>
      <c r="I2589" s="111"/>
      <c r="J2589" s="111"/>
      <c r="K2589" s="111"/>
      <c r="L2589" s="111"/>
      <c r="M2589" s="111"/>
      <c r="N2589" s="111"/>
      <c r="O2589" s="111"/>
      <c r="P2589" s="111"/>
      <c r="Q2589" s="111"/>
      <c r="R2589" s="111">
        <v>50457</v>
      </c>
      <c r="T2589" s="111">
        <f t="shared" si="719"/>
        <v>0</v>
      </c>
    </row>
  </sheetData>
  <mergeCells count="391">
    <mergeCell ref="B2:R2"/>
    <mergeCell ref="D81:H81"/>
    <mergeCell ref="D82:H82"/>
    <mergeCell ref="D83:H83"/>
    <mergeCell ref="T116:T120"/>
    <mergeCell ref="T149:T153"/>
    <mergeCell ref="T289:T293"/>
    <mergeCell ref="T420:T424"/>
    <mergeCell ref="T549:T553"/>
    <mergeCell ref="B548:R548"/>
    <mergeCell ref="B549:R549"/>
    <mergeCell ref="D488:H488"/>
    <mergeCell ref="E489:H489"/>
    <mergeCell ref="D497:H497"/>
    <mergeCell ref="E498:H498"/>
    <mergeCell ref="D503:H503"/>
    <mergeCell ref="E504:H504"/>
    <mergeCell ref="O550:O553"/>
    <mergeCell ref="P550:P553"/>
    <mergeCell ref="J550:J553"/>
    <mergeCell ref="K550:K553"/>
    <mergeCell ref="L550:L553"/>
    <mergeCell ref="M550:M553"/>
    <mergeCell ref="C425:H425"/>
    <mergeCell ref="T784:T788"/>
    <mergeCell ref="I550:I553"/>
    <mergeCell ref="D595:H595"/>
    <mergeCell ref="E596:H596"/>
    <mergeCell ref="B783:R783"/>
    <mergeCell ref="B784:R784"/>
    <mergeCell ref="B785:B788"/>
    <mergeCell ref="C554:H554"/>
    <mergeCell ref="D555:H555"/>
    <mergeCell ref="E556:H556"/>
    <mergeCell ref="D561:H561"/>
    <mergeCell ref="E562:H562"/>
    <mergeCell ref="Q785:Q788"/>
    <mergeCell ref="R785:R788"/>
    <mergeCell ref="B550:B553"/>
    <mergeCell ref="C550:C553"/>
    <mergeCell ref="D550:D553"/>
    <mergeCell ref="E550:E553"/>
    <mergeCell ref="F550:F553"/>
    <mergeCell ref="G550:G553"/>
    <mergeCell ref="H550:H553"/>
    <mergeCell ref="R550:R553"/>
    <mergeCell ref="Q550:Q553"/>
    <mergeCell ref="N550:N553"/>
    <mergeCell ref="T1856:T1860"/>
    <mergeCell ref="T2043:T2047"/>
    <mergeCell ref="T2168:T2172"/>
    <mergeCell ref="T2357:T2361"/>
    <mergeCell ref="T2555:T2559"/>
    <mergeCell ref="T3:T7"/>
    <mergeCell ref="E2571:H2571"/>
    <mergeCell ref="E2586:H2586"/>
    <mergeCell ref="Q2556:Q2559"/>
    <mergeCell ref="R2556:R2559"/>
    <mergeCell ref="C2560:H2560"/>
    <mergeCell ref="D2561:H2561"/>
    <mergeCell ref="E2562:H2562"/>
    <mergeCell ref="N2556:N2559"/>
    <mergeCell ref="O2556:O2559"/>
    <mergeCell ref="P2556:P2559"/>
    <mergeCell ref="I2556:I2559"/>
    <mergeCell ref="J2556:J2559"/>
    <mergeCell ref="K2556:K2559"/>
    <mergeCell ref="L2556:L2559"/>
    <mergeCell ref="M2556:M2559"/>
    <mergeCell ref="E2556:E2559"/>
    <mergeCell ref="F2556:F2559"/>
    <mergeCell ref="G2556:G2559"/>
    <mergeCell ref="H2556:H2559"/>
    <mergeCell ref="E2570:H2570"/>
    <mergeCell ref="E2529:H2529"/>
    <mergeCell ref="B2554:R2554"/>
    <mergeCell ref="B2555:R2555"/>
    <mergeCell ref="B2556:B2559"/>
    <mergeCell ref="C2556:C2559"/>
    <mergeCell ref="D2556:D2559"/>
    <mergeCell ref="E2504:H2504"/>
    <mergeCell ref="D2509:H2509"/>
    <mergeCell ref="E2510:H2510"/>
    <mergeCell ref="D2517:H2517"/>
    <mergeCell ref="D2528:H2528"/>
    <mergeCell ref="D2468:H2468"/>
    <mergeCell ref="D2490:H2490"/>
    <mergeCell ref="D2503:H2503"/>
    <mergeCell ref="E2385:H2385"/>
    <mergeCell ref="D2407:H2407"/>
    <mergeCell ref="E2408:H2408"/>
    <mergeCell ref="D2420:H2420"/>
    <mergeCell ref="E2421:H2421"/>
    <mergeCell ref="E2434:H2434"/>
    <mergeCell ref="C2362:H2362"/>
    <mergeCell ref="D2363:H2363"/>
    <mergeCell ref="E2364:H2364"/>
    <mergeCell ref="D2378:H2378"/>
    <mergeCell ref="E2379:H2379"/>
    <mergeCell ref="D2384:H2384"/>
    <mergeCell ref="G2358:G2361"/>
    <mergeCell ref="H2358:H2361"/>
    <mergeCell ref="E2454:H2454"/>
    <mergeCell ref="I2358:I2361"/>
    <mergeCell ref="J2358:J2361"/>
    <mergeCell ref="B2357:R2357"/>
    <mergeCell ref="B2358:B2361"/>
    <mergeCell ref="C2358:C2361"/>
    <mergeCell ref="D2358:D2361"/>
    <mergeCell ref="E2358:E2361"/>
    <mergeCell ref="F2358:F2361"/>
    <mergeCell ref="N2358:N2361"/>
    <mergeCell ref="O2358:O2361"/>
    <mergeCell ref="P2358:P2361"/>
    <mergeCell ref="Q2358:Q2361"/>
    <mergeCell ref="R2358:R2361"/>
    <mergeCell ref="K2358:K2361"/>
    <mergeCell ref="L2358:L2361"/>
    <mergeCell ref="M2358:M2361"/>
    <mergeCell ref="E2265:H2265"/>
    <mergeCell ref="D2271:H2271"/>
    <mergeCell ref="E2272:H2272"/>
    <mergeCell ref="D2286:H2286"/>
    <mergeCell ref="E2287:H2287"/>
    <mergeCell ref="B2356:R2356"/>
    <mergeCell ref="D2227:H2227"/>
    <mergeCell ref="E2228:H2228"/>
    <mergeCell ref="E2236:H2236"/>
    <mergeCell ref="D2246:H2246"/>
    <mergeCell ref="E2247:H2247"/>
    <mergeCell ref="D2264:H2264"/>
    <mergeCell ref="C2173:H2173"/>
    <mergeCell ref="D2174:H2174"/>
    <mergeCell ref="E2175:H2175"/>
    <mergeCell ref="M2169:M2172"/>
    <mergeCell ref="N2169:N2172"/>
    <mergeCell ref="O2169:O2172"/>
    <mergeCell ref="P2169:P2172"/>
    <mergeCell ref="I2169:I2172"/>
    <mergeCell ref="J2169:J2172"/>
    <mergeCell ref="K2169:K2172"/>
    <mergeCell ref="L2169:L2172"/>
    <mergeCell ref="D2169:D2172"/>
    <mergeCell ref="E2169:E2172"/>
    <mergeCell ref="F2169:F2172"/>
    <mergeCell ref="G2169:G2172"/>
    <mergeCell ref="H2169:H2172"/>
    <mergeCell ref="D2116:H2116"/>
    <mergeCell ref="E2117:H2117"/>
    <mergeCell ref="B2167:R2167"/>
    <mergeCell ref="B2168:R2168"/>
    <mergeCell ref="B2169:B2172"/>
    <mergeCell ref="C2169:C2172"/>
    <mergeCell ref="D2049:H2049"/>
    <mergeCell ref="E2050:H2050"/>
    <mergeCell ref="D2077:H2077"/>
    <mergeCell ref="E2078:H2078"/>
    <mergeCell ref="D2088:H2088"/>
    <mergeCell ref="E2089:H2089"/>
    <mergeCell ref="Q2169:Q2172"/>
    <mergeCell ref="R2169:R2172"/>
    <mergeCell ref="C2048:H2048"/>
    <mergeCell ref="L2044:L2047"/>
    <mergeCell ref="M2044:M2047"/>
    <mergeCell ref="N2044:N2047"/>
    <mergeCell ref="H2044:H2047"/>
    <mergeCell ref="I2044:I2047"/>
    <mergeCell ref="J2044:J2047"/>
    <mergeCell ref="K2044:K2047"/>
    <mergeCell ref="B2044:B2047"/>
    <mergeCell ref="C2044:C2047"/>
    <mergeCell ref="D2044:D2047"/>
    <mergeCell ref="E2044:E2047"/>
    <mergeCell ref="F2044:F2047"/>
    <mergeCell ref="G2044:G2047"/>
    <mergeCell ref="E1942:H1942"/>
    <mergeCell ref="E1973:H1973"/>
    <mergeCell ref="D1986:H1986"/>
    <mergeCell ref="E1987:H1987"/>
    <mergeCell ref="B2042:R2042"/>
    <mergeCell ref="B2043:R2043"/>
    <mergeCell ref="O2044:O2047"/>
    <mergeCell ref="P2044:P2047"/>
    <mergeCell ref="Q2044:Q2047"/>
    <mergeCell ref="R2044:R2047"/>
    <mergeCell ref="D1870:H1870"/>
    <mergeCell ref="E1871:H1871"/>
    <mergeCell ref="D1890:H1890"/>
    <mergeCell ref="E1891:H1891"/>
    <mergeCell ref="E1899:H1899"/>
    <mergeCell ref="E1917:H1917"/>
    <mergeCell ref="Q1857:Q1860"/>
    <mergeCell ref="R1857:R1860"/>
    <mergeCell ref="C1861:H1861"/>
    <mergeCell ref="D1862:H1862"/>
    <mergeCell ref="E1863:H1863"/>
    <mergeCell ref="M1857:M1860"/>
    <mergeCell ref="N1857:N1860"/>
    <mergeCell ref="O1857:O1860"/>
    <mergeCell ref="P1857:P1860"/>
    <mergeCell ref="I1857:I1860"/>
    <mergeCell ref="J1857:J1860"/>
    <mergeCell ref="K1857:K1860"/>
    <mergeCell ref="L1857:L1860"/>
    <mergeCell ref="D1857:D1860"/>
    <mergeCell ref="E1857:E1860"/>
    <mergeCell ref="F1857:F1860"/>
    <mergeCell ref="G1857:G1860"/>
    <mergeCell ref="H1857:H1860"/>
    <mergeCell ref="D1771:H1771"/>
    <mergeCell ref="E1772:H1772"/>
    <mergeCell ref="B1855:R1855"/>
    <mergeCell ref="B1856:R1856"/>
    <mergeCell ref="B1857:B1860"/>
    <mergeCell ref="C1857:C1860"/>
    <mergeCell ref="D1061:H1061"/>
    <mergeCell ref="E1062:H1062"/>
    <mergeCell ref="D1341:H1341"/>
    <mergeCell ref="E1342:H1342"/>
    <mergeCell ref="D1466:H1466"/>
    <mergeCell ref="E1467:H1467"/>
    <mergeCell ref="C789:H789"/>
    <mergeCell ref="D790:H790"/>
    <mergeCell ref="E791:H791"/>
    <mergeCell ref="M785:M788"/>
    <mergeCell ref="N785:N788"/>
    <mergeCell ref="O785:O788"/>
    <mergeCell ref="P785:P788"/>
    <mergeCell ref="I785:I788"/>
    <mergeCell ref="J785:J788"/>
    <mergeCell ref="K785:K788"/>
    <mergeCell ref="L785:L788"/>
    <mergeCell ref="D785:D788"/>
    <mergeCell ref="E785:E788"/>
    <mergeCell ref="F785:F788"/>
    <mergeCell ref="G785:G788"/>
    <mergeCell ref="H785:H788"/>
    <mergeCell ref="C785:C788"/>
    <mergeCell ref="D426:H426"/>
    <mergeCell ref="E427:H427"/>
    <mergeCell ref="D449:H449"/>
    <mergeCell ref="E450:H450"/>
    <mergeCell ref="N421:N424"/>
    <mergeCell ref="O421:O424"/>
    <mergeCell ref="P421:P424"/>
    <mergeCell ref="J421:J424"/>
    <mergeCell ref="K421:K424"/>
    <mergeCell ref="L421:L424"/>
    <mergeCell ref="M421:M424"/>
    <mergeCell ref="F421:F424"/>
    <mergeCell ref="G421:G424"/>
    <mergeCell ref="H421:H424"/>
    <mergeCell ref="I421:I424"/>
    <mergeCell ref="B419:R419"/>
    <mergeCell ref="B420:R420"/>
    <mergeCell ref="B421:B424"/>
    <mergeCell ref="C421:C424"/>
    <mergeCell ref="D421:D424"/>
    <mergeCell ref="E421:E424"/>
    <mergeCell ref="D339:H339"/>
    <mergeCell ref="E340:H340"/>
    <mergeCell ref="D359:H359"/>
    <mergeCell ref="E360:H360"/>
    <mergeCell ref="D381:H381"/>
    <mergeCell ref="E382:H382"/>
    <mergeCell ref="R421:R424"/>
    <mergeCell ref="Q421:Q424"/>
    <mergeCell ref="D303:H303"/>
    <mergeCell ref="E304:H304"/>
    <mergeCell ref="D317:H317"/>
    <mergeCell ref="E318:H318"/>
    <mergeCell ref="D330:H330"/>
    <mergeCell ref="Q290:Q293"/>
    <mergeCell ref="R290:R293"/>
    <mergeCell ref="C294:H294"/>
    <mergeCell ref="D295:H295"/>
    <mergeCell ref="E296:H296"/>
    <mergeCell ref="M290:M293"/>
    <mergeCell ref="N290:N293"/>
    <mergeCell ref="O290:O293"/>
    <mergeCell ref="P290:P293"/>
    <mergeCell ref="I290:I293"/>
    <mergeCell ref="J290:J293"/>
    <mergeCell ref="K290:K293"/>
    <mergeCell ref="L290:L293"/>
    <mergeCell ref="D290:D293"/>
    <mergeCell ref="E290:E293"/>
    <mergeCell ref="F290:F293"/>
    <mergeCell ref="G290:G293"/>
    <mergeCell ref="H290:H293"/>
    <mergeCell ref="D275:H275"/>
    <mergeCell ref="E276:H276"/>
    <mergeCell ref="B288:R288"/>
    <mergeCell ref="B289:R289"/>
    <mergeCell ref="B290:B293"/>
    <mergeCell ref="C290:C293"/>
    <mergeCell ref="D233:H233"/>
    <mergeCell ref="E234:H234"/>
    <mergeCell ref="D253:H253"/>
    <mergeCell ref="E254:H254"/>
    <mergeCell ref="D261:H261"/>
    <mergeCell ref="E262:H262"/>
    <mergeCell ref="E167:H167"/>
    <mergeCell ref="E179:H179"/>
    <mergeCell ref="D189:H189"/>
    <mergeCell ref="E190:H190"/>
    <mergeCell ref="D196:H196"/>
    <mergeCell ref="E197:H197"/>
    <mergeCell ref="C154:H154"/>
    <mergeCell ref="D155:H155"/>
    <mergeCell ref="E156:H156"/>
    <mergeCell ref="D161:H161"/>
    <mergeCell ref="E162:H162"/>
    <mergeCell ref="F150:F153"/>
    <mergeCell ref="G150:G153"/>
    <mergeCell ref="H150:H153"/>
    <mergeCell ref="I150:I153"/>
    <mergeCell ref="B148:R148"/>
    <mergeCell ref="B149:R149"/>
    <mergeCell ref="B150:B153"/>
    <mergeCell ref="C150:C153"/>
    <mergeCell ref="D150:D153"/>
    <mergeCell ref="E150:E153"/>
    <mergeCell ref="R150:R153"/>
    <mergeCell ref="Q150:Q153"/>
    <mergeCell ref="N150:N153"/>
    <mergeCell ref="O150:O153"/>
    <mergeCell ref="P150:P153"/>
    <mergeCell ref="J150:J153"/>
    <mergeCell ref="K150:K153"/>
    <mergeCell ref="L150:L153"/>
    <mergeCell ref="M150:M153"/>
    <mergeCell ref="C121:H121"/>
    <mergeCell ref="D122:H122"/>
    <mergeCell ref="E123:H123"/>
    <mergeCell ref="D131:H131"/>
    <mergeCell ref="E132:H132"/>
    <mergeCell ref="N117:N120"/>
    <mergeCell ref="O117:O120"/>
    <mergeCell ref="P117:P120"/>
    <mergeCell ref="J117:J120"/>
    <mergeCell ref="K117:K120"/>
    <mergeCell ref="L117:L120"/>
    <mergeCell ref="M117:M120"/>
    <mergeCell ref="F117:F120"/>
    <mergeCell ref="G117:G120"/>
    <mergeCell ref="H117:H120"/>
    <mergeCell ref="I117:I120"/>
    <mergeCell ref="B115:R115"/>
    <mergeCell ref="B116:R116"/>
    <mergeCell ref="B117:B120"/>
    <mergeCell ref="C117:C120"/>
    <mergeCell ref="D117:D120"/>
    <mergeCell ref="E117:E120"/>
    <mergeCell ref="D84:H84"/>
    <mergeCell ref="E85:H85"/>
    <mergeCell ref="D95:H95"/>
    <mergeCell ref="E96:H96"/>
    <mergeCell ref="D102:H102"/>
    <mergeCell ref="E103:H103"/>
    <mergeCell ref="R117:R120"/>
    <mergeCell ref="Q117:Q120"/>
    <mergeCell ref="E29:H29"/>
    <mergeCell ref="E34:H34"/>
    <mergeCell ref="D42:H42"/>
    <mergeCell ref="E43:H43"/>
    <mergeCell ref="D60:H60"/>
    <mergeCell ref="E61:H61"/>
    <mergeCell ref="E19:H19"/>
    <mergeCell ref="E24:H24"/>
    <mergeCell ref="N4:N7"/>
    <mergeCell ref="F4:F7"/>
    <mergeCell ref="G4:G7"/>
    <mergeCell ref="H4:H7"/>
    <mergeCell ref="I4:I7"/>
    <mergeCell ref="B3:R3"/>
    <mergeCell ref="B4:B7"/>
    <mergeCell ref="C4:C7"/>
    <mergeCell ref="D4:D7"/>
    <mergeCell ref="E4:E7"/>
    <mergeCell ref="R4:R7"/>
    <mergeCell ref="C8:H8"/>
    <mergeCell ref="D9:H9"/>
    <mergeCell ref="E10:H10"/>
    <mergeCell ref="O4:O7"/>
    <mergeCell ref="P4:P7"/>
    <mergeCell ref="Q4:Q7"/>
    <mergeCell ref="J4:J7"/>
    <mergeCell ref="K4:K7"/>
    <mergeCell ref="L4:L7"/>
    <mergeCell ref="M4:M7"/>
  </mergeCells>
  <pageMargins left="0.19685039370078741" right="0.23622047244094491" top="0.35433070866141736" bottom="0.35433070866141736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Normal="100" zoomScaleSheetLayoutView="90" workbookViewId="0"/>
  </sheetViews>
  <sheetFormatPr defaultRowHeight="15" x14ac:dyDescent="0.25"/>
  <cols>
    <col min="1" max="1" width="0.85546875" customWidth="1"/>
    <col min="2" max="2" width="3.42578125" customWidth="1"/>
    <col min="3" max="3" width="37.28515625" customWidth="1"/>
    <col min="4" max="4" width="12.5703125" style="11" customWidth="1"/>
    <col min="5" max="5" width="13.140625" style="11" customWidth="1"/>
    <col min="6" max="7" width="12.5703125" style="11" customWidth="1"/>
    <col min="8" max="8" width="13.140625" style="11" customWidth="1"/>
    <col min="9" max="9" width="14.28515625" style="11" customWidth="1"/>
    <col min="10" max="10" width="12.28515625" style="11" customWidth="1"/>
    <col min="11" max="11" width="12.140625" style="11" customWidth="1"/>
    <col min="12" max="12" width="11.42578125" style="11" customWidth="1"/>
    <col min="13" max="13" width="12.85546875" style="11" customWidth="1"/>
    <col min="14" max="15" width="12.7109375" style="11" customWidth="1"/>
    <col min="16" max="16" width="12.85546875" style="11" customWidth="1"/>
    <col min="17" max="17" width="12.5703125" style="11" customWidth="1"/>
    <col min="18" max="18" width="13" style="11" customWidth="1"/>
    <col min="20" max="20" width="9.85546875" bestFit="1" customWidth="1"/>
    <col min="249" max="249" width="0.85546875" customWidth="1"/>
    <col min="250" max="250" width="3.28515625" customWidth="1"/>
    <col min="251" max="251" width="37.7109375" customWidth="1"/>
    <col min="252" max="252" width="12.140625" customWidth="1"/>
    <col min="253" max="253" width="11" customWidth="1"/>
    <col min="254" max="254" width="12.5703125" customWidth="1"/>
    <col min="255" max="255" width="2" customWidth="1"/>
    <col min="256" max="257" width="12.5703125" customWidth="1"/>
    <col min="258" max="258" width="2.42578125" customWidth="1"/>
    <col min="259" max="259" width="3" customWidth="1"/>
    <col min="260" max="260" width="11.7109375" customWidth="1"/>
    <col min="261" max="262" width="11.85546875" customWidth="1"/>
    <col min="263" max="263" width="1.5703125" customWidth="1"/>
    <col min="264" max="264" width="12.140625" customWidth="1"/>
    <col min="265" max="265" width="9.42578125" customWidth="1"/>
    <col min="266" max="266" width="1.42578125" customWidth="1"/>
    <col min="267" max="267" width="1.85546875" customWidth="1"/>
    <col min="268" max="268" width="12.85546875" customWidth="1"/>
    <col min="269" max="269" width="12.140625" customWidth="1"/>
    <col min="270" max="270" width="12.7109375" customWidth="1"/>
    <col min="271" max="271" width="12.140625" customWidth="1"/>
    <col min="272" max="272" width="12.5703125" customWidth="1"/>
    <col min="273" max="273" width="13.28515625" customWidth="1"/>
    <col min="274" max="274" width="16" bestFit="1" customWidth="1"/>
    <col min="505" max="505" width="0.85546875" customWidth="1"/>
    <col min="506" max="506" width="3.28515625" customWidth="1"/>
    <col min="507" max="507" width="37.7109375" customWidth="1"/>
    <col min="508" max="508" width="12.140625" customWidth="1"/>
    <col min="509" max="509" width="11" customWidth="1"/>
    <col min="510" max="510" width="12.5703125" customWidth="1"/>
    <col min="511" max="511" width="2" customWidth="1"/>
    <col min="512" max="513" width="12.5703125" customWidth="1"/>
    <col min="514" max="514" width="2.42578125" customWidth="1"/>
    <col min="515" max="515" width="3" customWidth="1"/>
    <col min="516" max="516" width="11.7109375" customWidth="1"/>
    <col min="517" max="518" width="11.85546875" customWidth="1"/>
    <col min="519" max="519" width="1.5703125" customWidth="1"/>
    <col min="520" max="520" width="12.140625" customWidth="1"/>
    <col min="521" max="521" width="9.42578125" customWidth="1"/>
    <col min="522" max="522" width="1.42578125" customWidth="1"/>
    <col min="523" max="523" width="1.85546875" customWidth="1"/>
    <col min="524" max="524" width="12.85546875" customWidth="1"/>
    <col min="525" max="525" width="12.140625" customWidth="1"/>
    <col min="526" max="526" width="12.7109375" customWidth="1"/>
    <col min="527" max="527" width="12.140625" customWidth="1"/>
    <col min="528" max="528" width="12.5703125" customWidth="1"/>
    <col min="529" max="529" width="13.28515625" customWidth="1"/>
    <col min="530" max="530" width="16" bestFit="1" customWidth="1"/>
    <col min="761" max="761" width="0.85546875" customWidth="1"/>
    <col min="762" max="762" width="3.28515625" customWidth="1"/>
    <col min="763" max="763" width="37.7109375" customWidth="1"/>
    <col min="764" max="764" width="12.140625" customWidth="1"/>
    <col min="765" max="765" width="11" customWidth="1"/>
    <col min="766" max="766" width="12.5703125" customWidth="1"/>
    <col min="767" max="767" width="2" customWidth="1"/>
    <col min="768" max="769" width="12.5703125" customWidth="1"/>
    <col min="770" max="770" width="2.42578125" customWidth="1"/>
    <col min="771" max="771" width="3" customWidth="1"/>
    <col min="772" max="772" width="11.7109375" customWidth="1"/>
    <col min="773" max="774" width="11.85546875" customWidth="1"/>
    <col min="775" max="775" width="1.5703125" customWidth="1"/>
    <col min="776" max="776" width="12.140625" customWidth="1"/>
    <col min="777" max="777" width="9.42578125" customWidth="1"/>
    <col min="778" max="778" width="1.42578125" customWidth="1"/>
    <col min="779" max="779" width="1.85546875" customWidth="1"/>
    <col min="780" max="780" width="12.85546875" customWidth="1"/>
    <col min="781" max="781" width="12.140625" customWidth="1"/>
    <col min="782" max="782" width="12.7109375" customWidth="1"/>
    <col min="783" max="783" width="12.140625" customWidth="1"/>
    <col min="784" max="784" width="12.5703125" customWidth="1"/>
    <col min="785" max="785" width="13.28515625" customWidth="1"/>
    <col min="786" max="786" width="16" bestFit="1" customWidth="1"/>
    <col min="1017" max="1017" width="0.85546875" customWidth="1"/>
    <col min="1018" max="1018" width="3.28515625" customWidth="1"/>
    <col min="1019" max="1019" width="37.7109375" customWidth="1"/>
    <col min="1020" max="1020" width="12.140625" customWidth="1"/>
    <col min="1021" max="1021" width="11" customWidth="1"/>
    <col min="1022" max="1022" width="12.5703125" customWidth="1"/>
    <col min="1023" max="1023" width="2" customWidth="1"/>
    <col min="1024" max="1025" width="12.5703125" customWidth="1"/>
    <col min="1026" max="1026" width="2.42578125" customWidth="1"/>
    <col min="1027" max="1027" width="3" customWidth="1"/>
    <col min="1028" max="1028" width="11.7109375" customWidth="1"/>
    <col min="1029" max="1030" width="11.85546875" customWidth="1"/>
    <col min="1031" max="1031" width="1.5703125" customWidth="1"/>
    <col min="1032" max="1032" width="12.140625" customWidth="1"/>
    <col min="1033" max="1033" width="9.42578125" customWidth="1"/>
    <col min="1034" max="1034" width="1.42578125" customWidth="1"/>
    <col min="1035" max="1035" width="1.85546875" customWidth="1"/>
    <col min="1036" max="1036" width="12.85546875" customWidth="1"/>
    <col min="1037" max="1037" width="12.140625" customWidth="1"/>
    <col min="1038" max="1038" width="12.7109375" customWidth="1"/>
    <col min="1039" max="1039" width="12.140625" customWidth="1"/>
    <col min="1040" max="1040" width="12.5703125" customWidth="1"/>
    <col min="1041" max="1041" width="13.28515625" customWidth="1"/>
    <col min="1042" max="1042" width="16" bestFit="1" customWidth="1"/>
    <col min="1273" max="1273" width="0.85546875" customWidth="1"/>
    <col min="1274" max="1274" width="3.28515625" customWidth="1"/>
    <col min="1275" max="1275" width="37.7109375" customWidth="1"/>
    <col min="1276" max="1276" width="12.140625" customWidth="1"/>
    <col min="1277" max="1277" width="11" customWidth="1"/>
    <col min="1278" max="1278" width="12.5703125" customWidth="1"/>
    <col min="1279" max="1279" width="2" customWidth="1"/>
    <col min="1280" max="1281" width="12.5703125" customWidth="1"/>
    <col min="1282" max="1282" width="2.42578125" customWidth="1"/>
    <col min="1283" max="1283" width="3" customWidth="1"/>
    <col min="1284" max="1284" width="11.7109375" customWidth="1"/>
    <col min="1285" max="1286" width="11.85546875" customWidth="1"/>
    <col min="1287" max="1287" width="1.5703125" customWidth="1"/>
    <col min="1288" max="1288" width="12.140625" customWidth="1"/>
    <col min="1289" max="1289" width="9.42578125" customWidth="1"/>
    <col min="1290" max="1290" width="1.42578125" customWidth="1"/>
    <col min="1291" max="1291" width="1.85546875" customWidth="1"/>
    <col min="1292" max="1292" width="12.85546875" customWidth="1"/>
    <col min="1293" max="1293" width="12.140625" customWidth="1"/>
    <col min="1294" max="1294" width="12.7109375" customWidth="1"/>
    <col min="1295" max="1295" width="12.140625" customWidth="1"/>
    <col min="1296" max="1296" width="12.5703125" customWidth="1"/>
    <col min="1297" max="1297" width="13.28515625" customWidth="1"/>
    <col min="1298" max="1298" width="16" bestFit="1" customWidth="1"/>
    <col min="1529" max="1529" width="0.85546875" customWidth="1"/>
    <col min="1530" max="1530" width="3.28515625" customWidth="1"/>
    <col min="1531" max="1531" width="37.7109375" customWidth="1"/>
    <col min="1532" max="1532" width="12.140625" customWidth="1"/>
    <col min="1533" max="1533" width="11" customWidth="1"/>
    <col min="1534" max="1534" width="12.5703125" customWidth="1"/>
    <col min="1535" max="1535" width="2" customWidth="1"/>
    <col min="1536" max="1537" width="12.5703125" customWidth="1"/>
    <col min="1538" max="1538" width="2.42578125" customWidth="1"/>
    <col min="1539" max="1539" width="3" customWidth="1"/>
    <col min="1540" max="1540" width="11.7109375" customWidth="1"/>
    <col min="1541" max="1542" width="11.85546875" customWidth="1"/>
    <col min="1543" max="1543" width="1.5703125" customWidth="1"/>
    <col min="1544" max="1544" width="12.140625" customWidth="1"/>
    <col min="1545" max="1545" width="9.42578125" customWidth="1"/>
    <col min="1546" max="1546" width="1.42578125" customWidth="1"/>
    <col min="1547" max="1547" width="1.85546875" customWidth="1"/>
    <col min="1548" max="1548" width="12.85546875" customWidth="1"/>
    <col min="1549" max="1549" width="12.140625" customWidth="1"/>
    <col min="1550" max="1550" width="12.7109375" customWidth="1"/>
    <col min="1551" max="1551" width="12.140625" customWidth="1"/>
    <col min="1552" max="1552" width="12.5703125" customWidth="1"/>
    <col min="1553" max="1553" width="13.28515625" customWidth="1"/>
    <col min="1554" max="1554" width="16" bestFit="1" customWidth="1"/>
    <col min="1785" max="1785" width="0.85546875" customWidth="1"/>
    <col min="1786" max="1786" width="3.28515625" customWidth="1"/>
    <col min="1787" max="1787" width="37.7109375" customWidth="1"/>
    <col min="1788" max="1788" width="12.140625" customWidth="1"/>
    <col min="1789" max="1789" width="11" customWidth="1"/>
    <col min="1790" max="1790" width="12.5703125" customWidth="1"/>
    <col min="1791" max="1791" width="2" customWidth="1"/>
    <col min="1792" max="1793" width="12.5703125" customWidth="1"/>
    <col min="1794" max="1794" width="2.42578125" customWidth="1"/>
    <col min="1795" max="1795" width="3" customWidth="1"/>
    <col min="1796" max="1796" width="11.7109375" customWidth="1"/>
    <col min="1797" max="1798" width="11.85546875" customWidth="1"/>
    <col min="1799" max="1799" width="1.5703125" customWidth="1"/>
    <col min="1800" max="1800" width="12.140625" customWidth="1"/>
    <col min="1801" max="1801" width="9.42578125" customWidth="1"/>
    <col min="1802" max="1802" width="1.42578125" customWidth="1"/>
    <col min="1803" max="1803" width="1.85546875" customWidth="1"/>
    <col min="1804" max="1804" width="12.85546875" customWidth="1"/>
    <col min="1805" max="1805" width="12.140625" customWidth="1"/>
    <col min="1806" max="1806" width="12.7109375" customWidth="1"/>
    <col min="1807" max="1807" width="12.140625" customWidth="1"/>
    <col min="1808" max="1808" width="12.5703125" customWidth="1"/>
    <col min="1809" max="1809" width="13.28515625" customWidth="1"/>
    <col min="1810" max="1810" width="16" bestFit="1" customWidth="1"/>
    <col min="2041" max="2041" width="0.85546875" customWidth="1"/>
    <col min="2042" max="2042" width="3.28515625" customWidth="1"/>
    <col min="2043" max="2043" width="37.7109375" customWidth="1"/>
    <col min="2044" max="2044" width="12.140625" customWidth="1"/>
    <col min="2045" max="2045" width="11" customWidth="1"/>
    <col min="2046" max="2046" width="12.5703125" customWidth="1"/>
    <col min="2047" max="2047" width="2" customWidth="1"/>
    <col min="2048" max="2049" width="12.5703125" customWidth="1"/>
    <col min="2050" max="2050" width="2.42578125" customWidth="1"/>
    <col min="2051" max="2051" width="3" customWidth="1"/>
    <col min="2052" max="2052" width="11.7109375" customWidth="1"/>
    <col min="2053" max="2054" width="11.85546875" customWidth="1"/>
    <col min="2055" max="2055" width="1.5703125" customWidth="1"/>
    <col min="2056" max="2056" width="12.140625" customWidth="1"/>
    <col min="2057" max="2057" width="9.42578125" customWidth="1"/>
    <col min="2058" max="2058" width="1.42578125" customWidth="1"/>
    <col min="2059" max="2059" width="1.85546875" customWidth="1"/>
    <col min="2060" max="2060" width="12.85546875" customWidth="1"/>
    <col min="2061" max="2061" width="12.140625" customWidth="1"/>
    <col min="2062" max="2062" width="12.7109375" customWidth="1"/>
    <col min="2063" max="2063" width="12.140625" customWidth="1"/>
    <col min="2064" max="2064" width="12.5703125" customWidth="1"/>
    <col min="2065" max="2065" width="13.28515625" customWidth="1"/>
    <col min="2066" max="2066" width="16" bestFit="1" customWidth="1"/>
    <col min="2297" max="2297" width="0.85546875" customWidth="1"/>
    <col min="2298" max="2298" width="3.28515625" customWidth="1"/>
    <col min="2299" max="2299" width="37.7109375" customWidth="1"/>
    <col min="2300" max="2300" width="12.140625" customWidth="1"/>
    <col min="2301" max="2301" width="11" customWidth="1"/>
    <col min="2302" max="2302" width="12.5703125" customWidth="1"/>
    <col min="2303" max="2303" width="2" customWidth="1"/>
    <col min="2304" max="2305" width="12.5703125" customWidth="1"/>
    <col min="2306" max="2306" width="2.42578125" customWidth="1"/>
    <col min="2307" max="2307" width="3" customWidth="1"/>
    <col min="2308" max="2308" width="11.7109375" customWidth="1"/>
    <col min="2309" max="2310" width="11.85546875" customWidth="1"/>
    <col min="2311" max="2311" width="1.5703125" customWidth="1"/>
    <col min="2312" max="2312" width="12.140625" customWidth="1"/>
    <col min="2313" max="2313" width="9.42578125" customWidth="1"/>
    <col min="2314" max="2314" width="1.42578125" customWidth="1"/>
    <col min="2315" max="2315" width="1.85546875" customWidth="1"/>
    <col min="2316" max="2316" width="12.85546875" customWidth="1"/>
    <col min="2317" max="2317" width="12.140625" customWidth="1"/>
    <col min="2318" max="2318" width="12.7109375" customWidth="1"/>
    <col min="2319" max="2319" width="12.140625" customWidth="1"/>
    <col min="2320" max="2320" width="12.5703125" customWidth="1"/>
    <col min="2321" max="2321" width="13.28515625" customWidth="1"/>
    <col min="2322" max="2322" width="16" bestFit="1" customWidth="1"/>
    <col min="2553" max="2553" width="0.85546875" customWidth="1"/>
    <col min="2554" max="2554" width="3.28515625" customWidth="1"/>
    <col min="2555" max="2555" width="37.7109375" customWidth="1"/>
    <col min="2556" max="2556" width="12.140625" customWidth="1"/>
    <col min="2557" max="2557" width="11" customWidth="1"/>
    <col min="2558" max="2558" width="12.5703125" customWidth="1"/>
    <col min="2559" max="2559" width="2" customWidth="1"/>
    <col min="2560" max="2561" width="12.5703125" customWidth="1"/>
    <col min="2562" max="2562" width="2.42578125" customWidth="1"/>
    <col min="2563" max="2563" width="3" customWidth="1"/>
    <col min="2564" max="2564" width="11.7109375" customWidth="1"/>
    <col min="2565" max="2566" width="11.85546875" customWidth="1"/>
    <col min="2567" max="2567" width="1.5703125" customWidth="1"/>
    <col min="2568" max="2568" width="12.140625" customWidth="1"/>
    <col min="2569" max="2569" width="9.42578125" customWidth="1"/>
    <col min="2570" max="2570" width="1.42578125" customWidth="1"/>
    <col min="2571" max="2571" width="1.85546875" customWidth="1"/>
    <col min="2572" max="2572" width="12.85546875" customWidth="1"/>
    <col min="2573" max="2573" width="12.140625" customWidth="1"/>
    <col min="2574" max="2574" width="12.7109375" customWidth="1"/>
    <col min="2575" max="2575" width="12.140625" customWidth="1"/>
    <col min="2576" max="2576" width="12.5703125" customWidth="1"/>
    <col min="2577" max="2577" width="13.28515625" customWidth="1"/>
    <col min="2578" max="2578" width="16" bestFit="1" customWidth="1"/>
    <col min="2809" max="2809" width="0.85546875" customWidth="1"/>
    <col min="2810" max="2810" width="3.28515625" customWidth="1"/>
    <col min="2811" max="2811" width="37.7109375" customWidth="1"/>
    <col min="2812" max="2812" width="12.140625" customWidth="1"/>
    <col min="2813" max="2813" width="11" customWidth="1"/>
    <col min="2814" max="2814" width="12.5703125" customWidth="1"/>
    <col min="2815" max="2815" width="2" customWidth="1"/>
    <col min="2816" max="2817" width="12.5703125" customWidth="1"/>
    <col min="2818" max="2818" width="2.42578125" customWidth="1"/>
    <col min="2819" max="2819" width="3" customWidth="1"/>
    <col min="2820" max="2820" width="11.7109375" customWidth="1"/>
    <col min="2821" max="2822" width="11.85546875" customWidth="1"/>
    <col min="2823" max="2823" width="1.5703125" customWidth="1"/>
    <col min="2824" max="2824" width="12.140625" customWidth="1"/>
    <col min="2825" max="2825" width="9.42578125" customWidth="1"/>
    <col min="2826" max="2826" width="1.42578125" customWidth="1"/>
    <col min="2827" max="2827" width="1.85546875" customWidth="1"/>
    <col min="2828" max="2828" width="12.85546875" customWidth="1"/>
    <col min="2829" max="2829" width="12.140625" customWidth="1"/>
    <col min="2830" max="2830" width="12.7109375" customWidth="1"/>
    <col min="2831" max="2831" width="12.140625" customWidth="1"/>
    <col min="2832" max="2832" width="12.5703125" customWidth="1"/>
    <col min="2833" max="2833" width="13.28515625" customWidth="1"/>
    <col min="2834" max="2834" width="16" bestFit="1" customWidth="1"/>
    <col min="3065" max="3065" width="0.85546875" customWidth="1"/>
    <col min="3066" max="3066" width="3.28515625" customWidth="1"/>
    <col min="3067" max="3067" width="37.7109375" customWidth="1"/>
    <col min="3068" max="3068" width="12.140625" customWidth="1"/>
    <col min="3069" max="3069" width="11" customWidth="1"/>
    <col min="3070" max="3070" width="12.5703125" customWidth="1"/>
    <col min="3071" max="3071" width="2" customWidth="1"/>
    <col min="3072" max="3073" width="12.5703125" customWidth="1"/>
    <col min="3074" max="3074" width="2.42578125" customWidth="1"/>
    <col min="3075" max="3075" width="3" customWidth="1"/>
    <col min="3076" max="3076" width="11.7109375" customWidth="1"/>
    <col min="3077" max="3078" width="11.85546875" customWidth="1"/>
    <col min="3079" max="3079" width="1.5703125" customWidth="1"/>
    <col min="3080" max="3080" width="12.140625" customWidth="1"/>
    <col min="3081" max="3081" width="9.42578125" customWidth="1"/>
    <col min="3082" max="3082" width="1.42578125" customWidth="1"/>
    <col min="3083" max="3083" width="1.85546875" customWidth="1"/>
    <col min="3084" max="3084" width="12.85546875" customWidth="1"/>
    <col min="3085" max="3085" width="12.140625" customWidth="1"/>
    <col min="3086" max="3086" width="12.7109375" customWidth="1"/>
    <col min="3087" max="3087" width="12.140625" customWidth="1"/>
    <col min="3088" max="3088" width="12.5703125" customWidth="1"/>
    <col min="3089" max="3089" width="13.28515625" customWidth="1"/>
    <col min="3090" max="3090" width="16" bestFit="1" customWidth="1"/>
    <col min="3321" max="3321" width="0.85546875" customWidth="1"/>
    <col min="3322" max="3322" width="3.28515625" customWidth="1"/>
    <col min="3323" max="3323" width="37.7109375" customWidth="1"/>
    <col min="3324" max="3324" width="12.140625" customWidth="1"/>
    <col min="3325" max="3325" width="11" customWidth="1"/>
    <col min="3326" max="3326" width="12.5703125" customWidth="1"/>
    <col min="3327" max="3327" width="2" customWidth="1"/>
    <col min="3328" max="3329" width="12.5703125" customWidth="1"/>
    <col min="3330" max="3330" width="2.42578125" customWidth="1"/>
    <col min="3331" max="3331" width="3" customWidth="1"/>
    <col min="3332" max="3332" width="11.7109375" customWidth="1"/>
    <col min="3333" max="3334" width="11.85546875" customWidth="1"/>
    <col min="3335" max="3335" width="1.5703125" customWidth="1"/>
    <col min="3336" max="3336" width="12.140625" customWidth="1"/>
    <col min="3337" max="3337" width="9.42578125" customWidth="1"/>
    <col min="3338" max="3338" width="1.42578125" customWidth="1"/>
    <col min="3339" max="3339" width="1.85546875" customWidth="1"/>
    <col min="3340" max="3340" width="12.85546875" customWidth="1"/>
    <col min="3341" max="3341" width="12.140625" customWidth="1"/>
    <col min="3342" max="3342" width="12.7109375" customWidth="1"/>
    <col min="3343" max="3343" width="12.140625" customWidth="1"/>
    <col min="3344" max="3344" width="12.5703125" customWidth="1"/>
    <col min="3345" max="3345" width="13.28515625" customWidth="1"/>
    <col min="3346" max="3346" width="16" bestFit="1" customWidth="1"/>
    <col min="3577" max="3577" width="0.85546875" customWidth="1"/>
    <col min="3578" max="3578" width="3.28515625" customWidth="1"/>
    <col min="3579" max="3579" width="37.7109375" customWidth="1"/>
    <col min="3580" max="3580" width="12.140625" customWidth="1"/>
    <col min="3581" max="3581" width="11" customWidth="1"/>
    <col min="3582" max="3582" width="12.5703125" customWidth="1"/>
    <col min="3583" max="3583" width="2" customWidth="1"/>
    <col min="3584" max="3585" width="12.5703125" customWidth="1"/>
    <col min="3586" max="3586" width="2.42578125" customWidth="1"/>
    <col min="3587" max="3587" width="3" customWidth="1"/>
    <col min="3588" max="3588" width="11.7109375" customWidth="1"/>
    <col min="3589" max="3590" width="11.85546875" customWidth="1"/>
    <col min="3591" max="3591" width="1.5703125" customWidth="1"/>
    <col min="3592" max="3592" width="12.140625" customWidth="1"/>
    <col min="3593" max="3593" width="9.42578125" customWidth="1"/>
    <col min="3594" max="3594" width="1.42578125" customWidth="1"/>
    <col min="3595" max="3595" width="1.85546875" customWidth="1"/>
    <col min="3596" max="3596" width="12.85546875" customWidth="1"/>
    <col min="3597" max="3597" width="12.140625" customWidth="1"/>
    <col min="3598" max="3598" width="12.7109375" customWidth="1"/>
    <col min="3599" max="3599" width="12.140625" customWidth="1"/>
    <col min="3600" max="3600" width="12.5703125" customWidth="1"/>
    <col min="3601" max="3601" width="13.28515625" customWidth="1"/>
    <col min="3602" max="3602" width="16" bestFit="1" customWidth="1"/>
    <col min="3833" max="3833" width="0.85546875" customWidth="1"/>
    <col min="3834" max="3834" width="3.28515625" customWidth="1"/>
    <col min="3835" max="3835" width="37.7109375" customWidth="1"/>
    <col min="3836" max="3836" width="12.140625" customWidth="1"/>
    <col min="3837" max="3837" width="11" customWidth="1"/>
    <col min="3838" max="3838" width="12.5703125" customWidth="1"/>
    <col min="3839" max="3839" width="2" customWidth="1"/>
    <col min="3840" max="3841" width="12.5703125" customWidth="1"/>
    <col min="3842" max="3842" width="2.42578125" customWidth="1"/>
    <col min="3843" max="3843" width="3" customWidth="1"/>
    <col min="3844" max="3844" width="11.7109375" customWidth="1"/>
    <col min="3845" max="3846" width="11.85546875" customWidth="1"/>
    <col min="3847" max="3847" width="1.5703125" customWidth="1"/>
    <col min="3848" max="3848" width="12.140625" customWidth="1"/>
    <col min="3849" max="3849" width="9.42578125" customWidth="1"/>
    <col min="3850" max="3850" width="1.42578125" customWidth="1"/>
    <col min="3851" max="3851" width="1.85546875" customWidth="1"/>
    <col min="3852" max="3852" width="12.85546875" customWidth="1"/>
    <col min="3853" max="3853" width="12.140625" customWidth="1"/>
    <col min="3854" max="3854" width="12.7109375" customWidth="1"/>
    <col min="3855" max="3855" width="12.140625" customWidth="1"/>
    <col min="3856" max="3856" width="12.5703125" customWidth="1"/>
    <col min="3857" max="3857" width="13.28515625" customWidth="1"/>
    <col min="3858" max="3858" width="16" bestFit="1" customWidth="1"/>
    <col min="4089" max="4089" width="0.85546875" customWidth="1"/>
    <col min="4090" max="4090" width="3.28515625" customWidth="1"/>
    <col min="4091" max="4091" width="37.7109375" customWidth="1"/>
    <col min="4092" max="4092" width="12.140625" customWidth="1"/>
    <col min="4093" max="4093" width="11" customWidth="1"/>
    <col min="4094" max="4094" width="12.5703125" customWidth="1"/>
    <col min="4095" max="4095" width="2" customWidth="1"/>
    <col min="4096" max="4097" width="12.5703125" customWidth="1"/>
    <col min="4098" max="4098" width="2.42578125" customWidth="1"/>
    <col min="4099" max="4099" width="3" customWidth="1"/>
    <col min="4100" max="4100" width="11.7109375" customWidth="1"/>
    <col min="4101" max="4102" width="11.85546875" customWidth="1"/>
    <col min="4103" max="4103" width="1.5703125" customWidth="1"/>
    <col min="4104" max="4104" width="12.140625" customWidth="1"/>
    <col min="4105" max="4105" width="9.42578125" customWidth="1"/>
    <col min="4106" max="4106" width="1.42578125" customWidth="1"/>
    <col min="4107" max="4107" width="1.85546875" customWidth="1"/>
    <col min="4108" max="4108" width="12.85546875" customWidth="1"/>
    <col min="4109" max="4109" width="12.140625" customWidth="1"/>
    <col min="4110" max="4110" width="12.7109375" customWidth="1"/>
    <col min="4111" max="4111" width="12.140625" customWidth="1"/>
    <col min="4112" max="4112" width="12.5703125" customWidth="1"/>
    <col min="4113" max="4113" width="13.28515625" customWidth="1"/>
    <col min="4114" max="4114" width="16" bestFit="1" customWidth="1"/>
    <col min="4345" max="4345" width="0.85546875" customWidth="1"/>
    <col min="4346" max="4346" width="3.28515625" customWidth="1"/>
    <col min="4347" max="4347" width="37.7109375" customWidth="1"/>
    <col min="4348" max="4348" width="12.140625" customWidth="1"/>
    <col min="4349" max="4349" width="11" customWidth="1"/>
    <col min="4350" max="4350" width="12.5703125" customWidth="1"/>
    <col min="4351" max="4351" width="2" customWidth="1"/>
    <col min="4352" max="4353" width="12.5703125" customWidth="1"/>
    <col min="4354" max="4354" width="2.42578125" customWidth="1"/>
    <col min="4355" max="4355" width="3" customWidth="1"/>
    <col min="4356" max="4356" width="11.7109375" customWidth="1"/>
    <col min="4357" max="4358" width="11.85546875" customWidth="1"/>
    <col min="4359" max="4359" width="1.5703125" customWidth="1"/>
    <col min="4360" max="4360" width="12.140625" customWidth="1"/>
    <col min="4361" max="4361" width="9.42578125" customWidth="1"/>
    <col min="4362" max="4362" width="1.42578125" customWidth="1"/>
    <col min="4363" max="4363" width="1.85546875" customWidth="1"/>
    <col min="4364" max="4364" width="12.85546875" customWidth="1"/>
    <col min="4365" max="4365" width="12.140625" customWidth="1"/>
    <col min="4366" max="4366" width="12.7109375" customWidth="1"/>
    <col min="4367" max="4367" width="12.140625" customWidth="1"/>
    <col min="4368" max="4368" width="12.5703125" customWidth="1"/>
    <col min="4369" max="4369" width="13.28515625" customWidth="1"/>
    <col min="4370" max="4370" width="16" bestFit="1" customWidth="1"/>
    <col min="4601" max="4601" width="0.85546875" customWidth="1"/>
    <col min="4602" max="4602" width="3.28515625" customWidth="1"/>
    <col min="4603" max="4603" width="37.7109375" customWidth="1"/>
    <col min="4604" max="4604" width="12.140625" customWidth="1"/>
    <col min="4605" max="4605" width="11" customWidth="1"/>
    <col min="4606" max="4606" width="12.5703125" customWidth="1"/>
    <col min="4607" max="4607" width="2" customWidth="1"/>
    <col min="4608" max="4609" width="12.5703125" customWidth="1"/>
    <col min="4610" max="4610" width="2.42578125" customWidth="1"/>
    <col min="4611" max="4611" width="3" customWidth="1"/>
    <col min="4612" max="4612" width="11.7109375" customWidth="1"/>
    <col min="4613" max="4614" width="11.85546875" customWidth="1"/>
    <col min="4615" max="4615" width="1.5703125" customWidth="1"/>
    <col min="4616" max="4616" width="12.140625" customWidth="1"/>
    <col min="4617" max="4617" width="9.42578125" customWidth="1"/>
    <col min="4618" max="4618" width="1.42578125" customWidth="1"/>
    <col min="4619" max="4619" width="1.85546875" customWidth="1"/>
    <col min="4620" max="4620" width="12.85546875" customWidth="1"/>
    <col min="4621" max="4621" width="12.140625" customWidth="1"/>
    <col min="4622" max="4622" width="12.7109375" customWidth="1"/>
    <col min="4623" max="4623" width="12.140625" customWidth="1"/>
    <col min="4624" max="4624" width="12.5703125" customWidth="1"/>
    <col min="4625" max="4625" width="13.28515625" customWidth="1"/>
    <col min="4626" max="4626" width="16" bestFit="1" customWidth="1"/>
    <col min="4857" max="4857" width="0.85546875" customWidth="1"/>
    <col min="4858" max="4858" width="3.28515625" customWidth="1"/>
    <col min="4859" max="4859" width="37.7109375" customWidth="1"/>
    <col min="4860" max="4860" width="12.140625" customWidth="1"/>
    <col min="4861" max="4861" width="11" customWidth="1"/>
    <col min="4862" max="4862" width="12.5703125" customWidth="1"/>
    <col min="4863" max="4863" width="2" customWidth="1"/>
    <col min="4864" max="4865" width="12.5703125" customWidth="1"/>
    <col min="4866" max="4866" width="2.42578125" customWidth="1"/>
    <col min="4867" max="4867" width="3" customWidth="1"/>
    <col min="4868" max="4868" width="11.7109375" customWidth="1"/>
    <col min="4869" max="4870" width="11.85546875" customWidth="1"/>
    <col min="4871" max="4871" width="1.5703125" customWidth="1"/>
    <col min="4872" max="4872" width="12.140625" customWidth="1"/>
    <col min="4873" max="4873" width="9.42578125" customWidth="1"/>
    <col min="4874" max="4874" width="1.42578125" customWidth="1"/>
    <col min="4875" max="4875" width="1.85546875" customWidth="1"/>
    <col min="4876" max="4876" width="12.85546875" customWidth="1"/>
    <col min="4877" max="4877" width="12.140625" customWidth="1"/>
    <col min="4878" max="4878" width="12.7109375" customWidth="1"/>
    <col min="4879" max="4879" width="12.140625" customWidth="1"/>
    <col min="4880" max="4880" width="12.5703125" customWidth="1"/>
    <col min="4881" max="4881" width="13.28515625" customWidth="1"/>
    <col min="4882" max="4882" width="16" bestFit="1" customWidth="1"/>
    <col min="5113" max="5113" width="0.85546875" customWidth="1"/>
    <col min="5114" max="5114" width="3.28515625" customWidth="1"/>
    <col min="5115" max="5115" width="37.7109375" customWidth="1"/>
    <col min="5116" max="5116" width="12.140625" customWidth="1"/>
    <col min="5117" max="5117" width="11" customWidth="1"/>
    <col min="5118" max="5118" width="12.5703125" customWidth="1"/>
    <col min="5119" max="5119" width="2" customWidth="1"/>
    <col min="5120" max="5121" width="12.5703125" customWidth="1"/>
    <col min="5122" max="5122" width="2.42578125" customWidth="1"/>
    <col min="5123" max="5123" width="3" customWidth="1"/>
    <col min="5124" max="5124" width="11.7109375" customWidth="1"/>
    <col min="5125" max="5126" width="11.85546875" customWidth="1"/>
    <col min="5127" max="5127" width="1.5703125" customWidth="1"/>
    <col min="5128" max="5128" width="12.140625" customWidth="1"/>
    <col min="5129" max="5129" width="9.42578125" customWidth="1"/>
    <col min="5130" max="5130" width="1.42578125" customWidth="1"/>
    <col min="5131" max="5131" width="1.85546875" customWidth="1"/>
    <col min="5132" max="5132" width="12.85546875" customWidth="1"/>
    <col min="5133" max="5133" width="12.140625" customWidth="1"/>
    <col min="5134" max="5134" width="12.7109375" customWidth="1"/>
    <col min="5135" max="5135" width="12.140625" customWidth="1"/>
    <col min="5136" max="5136" width="12.5703125" customWidth="1"/>
    <col min="5137" max="5137" width="13.28515625" customWidth="1"/>
    <col min="5138" max="5138" width="16" bestFit="1" customWidth="1"/>
    <col min="5369" max="5369" width="0.85546875" customWidth="1"/>
    <col min="5370" max="5370" width="3.28515625" customWidth="1"/>
    <col min="5371" max="5371" width="37.7109375" customWidth="1"/>
    <col min="5372" max="5372" width="12.140625" customWidth="1"/>
    <col min="5373" max="5373" width="11" customWidth="1"/>
    <col min="5374" max="5374" width="12.5703125" customWidth="1"/>
    <col min="5375" max="5375" width="2" customWidth="1"/>
    <col min="5376" max="5377" width="12.5703125" customWidth="1"/>
    <col min="5378" max="5378" width="2.42578125" customWidth="1"/>
    <col min="5379" max="5379" width="3" customWidth="1"/>
    <col min="5380" max="5380" width="11.7109375" customWidth="1"/>
    <col min="5381" max="5382" width="11.85546875" customWidth="1"/>
    <col min="5383" max="5383" width="1.5703125" customWidth="1"/>
    <col min="5384" max="5384" width="12.140625" customWidth="1"/>
    <col min="5385" max="5385" width="9.42578125" customWidth="1"/>
    <col min="5386" max="5386" width="1.42578125" customWidth="1"/>
    <col min="5387" max="5387" width="1.85546875" customWidth="1"/>
    <col min="5388" max="5388" width="12.85546875" customWidth="1"/>
    <col min="5389" max="5389" width="12.140625" customWidth="1"/>
    <col min="5390" max="5390" width="12.7109375" customWidth="1"/>
    <col min="5391" max="5391" width="12.140625" customWidth="1"/>
    <col min="5392" max="5392" width="12.5703125" customWidth="1"/>
    <col min="5393" max="5393" width="13.28515625" customWidth="1"/>
    <col min="5394" max="5394" width="16" bestFit="1" customWidth="1"/>
    <col min="5625" max="5625" width="0.85546875" customWidth="1"/>
    <col min="5626" max="5626" width="3.28515625" customWidth="1"/>
    <col min="5627" max="5627" width="37.7109375" customWidth="1"/>
    <col min="5628" max="5628" width="12.140625" customWidth="1"/>
    <col min="5629" max="5629" width="11" customWidth="1"/>
    <col min="5630" max="5630" width="12.5703125" customWidth="1"/>
    <col min="5631" max="5631" width="2" customWidth="1"/>
    <col min="5632" max="5633" width="12.5703125" customWidth="1"/>
    <col min="5634" max="5634" width="2.42578125" customWidth="1"/>
    <col min="5635" max="5635" width="3" customWidth="1"/>
    <col min="5636" max="5636" width="11.7109375" customWidth="1"/>
    <col min="5637" max="5638" width="11.85546875" customWidth="1"/>
    <col min="5639" max="5639" width="1.5703125" customWidth="1"/>
    <col min="5640" max="5640" width="12.140625" customWidth="1"/>
    <col min="5641" max="5641" width="9.42578125" customWidth="1"/>
    <col min="5642" max="5642" width="1.42578125" customWidth="1"/>
    <col min="5643" max="5643" width="1.85546875" customWidth="1"/>
    <col min="5644" max="5644" width="12.85546875" customWidth="1"/>
    <col min="5645" max="5645" width="12.140625" customWidth="1"/>
    <col min="5646" max="5646" width="12.7109375" customWidth="1"/>
    <col min="5647" max="5647" width="12.140625" customWidth="1"/>
    <col min="5648" max="5648" width="12.5703125" customWidth="1"/>
    <col min="5649" max="5649" width="13.28515625" customWidth="1"/>
    <col min="5650" max="5650" width="16" bestFit="1" customWidth="1"/>
    <col min="5881" max="5881" width="0.85546875" customWidth="1"/>
    <col min="5882" max="5882" width="3.28515625" customWidth="1"/>
    <col min="5883" max="5883" width="37.7109375" customWidth="1"/>
    <col min="5884" max="5884" width="12.140625" customWidth="1"/>
    <col min="5885" max="5885" width="11" customWidth="1"/>
    <col min="5886" max="5886" width="12.5703125" customWidth="1"/>
    <col min="5887" max="5887" width="2" customWidth="1"/>
    <col min="5888" max="5889" width="12.5703125" customWidth="1"/>
    <col min="5890" max="5890" width="2.42578125" customWidth="1"/>
    <col min="5891" max="5891" width="3" customWidth="1"/>
    <col min="5892" max="5892" width="11.7109375" customWidth="1"/>
    <col min="5893" max="5894" width="11.85546875" customWidth="1"/>
    <col min="5895" max="5895" width="1.5703125" customWidth="1"/>
    <col min="5896" max="5896" width="12.140625" customWidth="1"/>
    <col min="5897" max="5897" width="9.42578125" customWidth="1"/>
    <col min="5898" max="5898" width="1.42578125" customWidth="1"/>
    <col min="5899" max="5899" width="1.85546875" customWidth="1"/>
    <col min="5900" max="5900" width="12.85546875" customWidth="1"/>
    <col min="5901" max="5901" width="12.140625" customWidth="1"/>
    <col min="5902" max="5902" width="12.7109375" customWidth="1"/>
    <col min="5903" max="5903" width="12.140625" customWidth="1"/>
    <col min="5904" max="5904" width="12.5703125" customWidth="1"/>
    <col min="5905" max="5905" width="13.28515625" customWidth="1"/>
    <col min="5906" max="5906" width="16" bestFit="1" customWidth="1"/>
    <col min="6137" max="6137" width="0.85546875" customWidth="1"/>
    <col min="6138" max="6138" width="3.28515625" customWidth="1"/>
    <col min="6139" max="6139" width="37.7109375" customWidth="1"/>
    <col min="6140" max="6140" width="12.140625" customWidth="1"/>
    <col min="6141" max="6141" width="11" customWidth="1"/>
    <col min="6142" max="6142" width="12.5703125" customWidth="1"/>
    <col min="6143" max="6143" width="2" customWidth="1"/>
    <col min="6144" max="6145" width="12.5703125" customWidth="1"/>
    <col min="6146" max="6146" width="2.42578125" customWidth="1"/>
    <col min="6147" max="6147" width="3" customWidth="1"/>
    <col min="6148" max="6148" width="11.7109375" customWidth="1"/>
    <col min="6149" max="6150" width="11.85546875" customWidth="1"/>
    <col min="6151" max="6151" width="1.5703125" customWidth="1"/>
    <col min="6152" max="6152" width="12.140625" customWidth="1"/>
    <col min="6153" max="6153" width="9.42578125" customWidth="1"/>
    <col min="6154" max="6154" width="1.42578125" customWidth="1"/>
    <col min="6155" max="6155" width="1.85546875" customWidth="1"/>
    <col min="6156" max="6156" width="12.85546875" customWidth="1"/>
    <col min="6157" max="6157" width="12.140625" customWidth="1"/>
    <col min="6158" max="6158" width="12.7109375" customWidth="1"/>
    <col min="6159" max="6159" width="12.140625" customWidth="1"/>
    <col min="6160" max="6160" width="12.5703125" customWidth="1"/>
    <col min="6161" max="6161" width="13.28515625" customWidth="1"/>
    <col min="6162" max="6162" width="16" bestFit="1" customWidth="1"/>
    <col min="6393" max="6393" width="0.85546875" customWidth="1"/>
    <col min="6394" max="6394" width="3.28515625" customWidth="1"/>
    <col min="6395" max="6395" width="37.7109375" customWidth="1"/>
    <col min="6396" max="6396" width="12.140625" customWidth="1"/>
    <col min="6397" max="6397" width="11" customWidth="1"/>
    <col min="6398" max="6398" width="12.5703125" customWidth="1"/>
    <col min="6399" max="6399" width="2" customWidth="1"/>
    <col min="6400" max="6401" width="12.5703125" customWidth="1"/>
    <col min="6402" max="6402" width="2.42578125" customWidth="1"/>
    <col min="6403" max="6403" width="3" customWidth="1"/>
    <col min="6404" max="6404" width="11.7109375" customWidth="1"/>
    <col min="6405" max="6406" width="11.85546875" customWidth="1"/>
    <col min="6407" max="6407" width="1.5703125" customWidth="1"/>
    <col min="6408" max="6408" width="12.140625" customWidth="1"/>
    <col min="6409" max="6409" width="9.42578125" customWidth="1"/>
    <col min="6410" max="6410" width="1.42578125" customWidth="1"/>
    <col min="6411" max="6411" width="1.85546875" customWidth="1"/>
    <col min="6412" max="6412" width="12.85546875" customWidth="1"/>
    <col min="6413" max="6413" width="12.140625" customWidth="1"/>
    <col min="6414" max="6414" width="12.7109375" customWidth="1"/>
    <col min="6415" max="6415" width="12.140625" customWidth="1"/>
    <col min="6416" max="6416" width="12.5703125" customWidth="1"/>
    <col min="6417" max="6417" width="13.28515625" customWidth="1"/>
    <col min="6418" max="6418" width="16" bestFit="1" customWidth="1"/>
    <col min="6649" max="6649" width="0.85546875" customWidth="1"/>
    <col min="6650" max="6650" width="3.28515625" customWidth="1"/>
    <col min="6651" max="6651" width="37.7109375" customWidth="1"/>
    <col min="6652" max="6652" width="12.140625" customWidth="1"/>
    <col min="6653" max="6653" width="11" customWidth="1"/>
    <col min="6654" max="6654" width="12.5703125" customWidth="1"/>
    <col min="6655" max="6655" width="2" customWidth="1"/>
    <col min="6656" max="6657" width="12.5703125" customWidth="1"/>
    <col min="6658" max="6658" width="2.42578125" customWidth="1"/>
    <col min="6659" max="6659" width="3" customWidth="1"/>
    <col min="6660" max="6660" width="11.7109375" customWidth="1"/>
    <col min="6661" max="6662" width="11.85546875" customWidth="1"/>
    <col min="6663" max="6663" width="1.5703125" customWidth="1"/>
    <col min="6664" max="6664" width="12.140625" customWidth="1"/>
    <col min="6665" max="6665" width="9.42578125" customWidth="1"/>
    <col min="6666" max="6666" width="1.42578125" customWidth="1"/>
    <col min="6667" max="6667" width="1.85546875" customWidth="1"/>
    <col min="6668" max="6668" width="12.85546875" customWidth="1"/>
    <col min="6669" max="6669" width="12.140625" customWidth="1"/>
    <col min="6670" max="6670" width="12.7109375" customWidth="1"/>
    <col min="6671" max="6671" width="12.140625" customWidth="1"/>
    <col min="6672" max="6672" width="12.5703125" customWidth="1"/>
    <col min="6673" max="6673" width="13.28515625" customWidth="1"/>
    <col min="6674" max="6674" width="16" bestFit="1" customWidth="1"/>
    <col min="6905" max="6905" width="0.85546875" customWidth="1"/>
    <col min="6906" max="6906" width="3.28515625" customWidth="1"/>
    <col min="6907" max="6907" width="37.7109375" customWidth="1"/>
    <col min="6908" max="6908" width="12.140625" customWidth="1"/>
    <col min="6909" max="6909" width="11" customWidth="1"/>
    <col min="6910" max="6910" width="12.5703125" customWidth="1"/>
    <col min="6911" max="6911" width="2" customWidth="1"/>
    <col min="6912" max="6913" width="12.5703125" customWidth="1"/>
    <col min="6914" max="6914" width="2.42578125" customWidth="1"/>
    <col min="6915" max="6915" width="3" customWidth="1"/>
    <col min="6916" max="6916" width="11.7109375" customWidth="1"/>
    <col min="6917" max="6918" width="11.85546875" customWidth="1"/>
    <col min="6919" max="6919" width="1.5703125" customWidth="1"/>
    <col min="6920" max="6920" width="12.140625" customWidth="1"/>
    <col min="6921" max="6921" width="9.42578125" customWidth="1"/>
    <col min="6922" max="6922" width="1.42578125" customWidth="1"/>
    <col min="6923" max="6923" width="1.85546875" customWidth="1"/>
    <col min="6924" max="6924" width="12.85546875" customWidth="1"/>
    <col min="6925" max="6925" width="12.140625" customWidth="1"/>
    <col min="6926" max="6926" width="12.7109375" customWidth="1"/>
    <col min="6927" max="6927" width="12.140625" customWidth="1"/>
    <col min="6928" max="6928" width="12.5703125" customWidth="1"/>
    <col min="6929" max="6929" width="13.28515625" customWidth="1"/>
    <col min="6930" max="6930" width="16" bestFit="1" customWidth="1"/>
    <col min="7161" max="7161" width="0.85546875" customWidth="1"/>
    <col min="7162" max="7162" width="3.28515625" customWidth="1"/>
    <col min="7163" max="7163" width="37.7109375" customWidth="1"/>
    <col min="7164" max="7164" width="12.140625" customWidth="1"/>
    <col min="7165" max="7165" width="11" customWidth="1"/>
    <col min="7166" max="7166" width="12.5703125" customWidth="1"/>
    <col min="7167" max="7167" width="2" customWidth="1"/>
    <col min="7168" max="7169" width="12.5703125" customWidth="1"/>
    <col min="7170" max="7170" width="2.42578125" customWidth="1"/>
    <col min="7171" max="7171" width="3" customWidth="1"/>
    <col min="7172" max="7172" width="11.7109375" customWidth="1"/>
    <col min="7173" max="7174" width="11.85546875" customWidth="1"/>
    <col min="7175" max="7175" width="1.5703125" customWidth="1"/>
    <col min="7176" max="7176" width="12.140625" customWidth="1"/>
    <col min="7177" max="7177" width="9.42578125" customWidth="1"/>
    <col min="7178" max="7178" width="1.42578125" customWidth="1"/>
    <col min="7179" max="7179" width="1.85546875" customWidth="1"/>
    <col min="7180" max="7180" width="12.85546875" customWidth="1"/>
    <col min="7181" max="7181" width="12.140625" customWidth="1"/>
    <col min="7182" max="7182" width="12.7109375" customWidth="1"/>
    <col min="7183" max="7183" width="12.140625" customWidth="1"/>
    <col min="7184" max="7184" width="12.5703125" customWidth="1"/>
    <col min="7185" max="7185" width="13.28515625" customWidth="1"/>
    <col min="7186" max="7186" width="16" bestFit="1" customWidth="1"/>
    <col min="7417" max="7417" width="0.85546875" customWidth="1"/>
    <col min="7418" max="7418" width="3.28515625" customWidth="1"/>
    <col min="7419" max="7419" width="37.7109375" customWidth="1"/>
    <col min="7420" max="7420" width="12.140625" customWidth="1"/>
    <col min="7421" max="7421" width="11" customWidth="1"/>
    <col min="7422" max="7422" width="12.5703125" customWidth="1"/>
    <col min="7423" max="7423" width="2" customWidth="1"/>
    <col min="7424" max="7425" width="12.5703125" customWidth="1"/>
    <col min="7426" max="7426" width="2.42578125" customWidth="1"/>
    <col min="7427" max="7427" width="3" customWidth="1"/>
    <col min="7428" max="7428" width="11.7109375" customWidth="1"/>
    <col min="7429" max="7430" width="11.85546875" customWidth="1"/>
    <col min="7431" max="7431" width="1.5703125" customWidth="1"/>
    <col min="7432" max="7432" width="12.140625" customWidth="1"/>
    <col min="7433" max="7433" width="9.42578125" customWidth="1"/>
    <col min="7434" max="7434" width="1.42578125" customWidth="1"/>
    <col min="7435" max="7435" width="1.85546875" customWidth="1"/>
    <col min="7436" max="7436" width="12.85546875" customWidth="1"/>
    <col min="7437" max="7437" width="12.140625" customWidth="1"/>
    <col min="7438" max="7438" width="12.7109375" customWidth="1"/>
    <col min="7439" max="7439" width="12.140625" customWidth="1"/>
    <col min="7440" max="7440" width="12.5703125" customWidth="1"/>
    <col min="7441" max="7441" width="13.28515625" customWidth="1"/>
    <col min="7442" max="7442" width="16" bestFit="1" customWidth="1"/>
    <col min="7673" max="7673" width="0.85546875" customWidth="1"/>
    <col min="7674" max="7674" width="3.28515625" customWidth="1"/>
    <col min="7675" max="7675" width="37.7109375" customWidth="1"/>
    <col min="7676" max="7676" width="12.140625" customWidth="1"/>
    <col min="7677" max="7677" width="11" customWidth="1"/>
    <col min="7678" max="7678" width="12.5703125" customWidth="1"/>
    <col min="7679" max="7679" width="2" customWidth="1"/>
    <col min="7680" max="7681" width="12.5703125" customWidth="1"/>
    <col min="7682" max="7682" width="2.42578125" customWidth="1"/>
    <col min="7683" max="7683" width="3" customWidth="1"/>
    <col min="7684" max="7684" width="11.7109375" customWidth="1"/>
    <col min="7685" max="7686" width="11.85546875" customWidth="1"/>
    <col min="7687" max="7687" width="1.5703125" customWidth="1"/>
    <col min="7688" max="7688" width="12.140625" customWidth="1"/>
    <col min="7689" max="7689" width="9.42578125" customWidth="1"/>
    <col min="7690" max="7690" width="1.42578125" customWidth="1"/>
    <col min="7691" max="7691" width="1.85546875" customWidth="1"/>
    <col min="7692" max="7692" width="12.85546875" customWidth="1"/>
    <col min="7693" max="7693" width="12.140625" customWidth="1"/>
    <col min="7694" max="7694" width="12.7109375" customWidth="1"/>
    <col min="7695" max="7695" width="12.140625" customWidth="1"/>
    <col min="7696" max="7696" width="12.5703125" customWidth="1"/>
    <col min="7697" max="7697" width="13.28515625" customWidth="1"/>
    <col min="7698" max="7698" width="16" bestFit="1" customWidth="1"/>
    <col min="7929" max="7929" width="0.85546875" customWidth="1"/>
    <col min="7930" max="7930" width="3.28515625" customWidth="1"/>
    <col min="7931" max="7931" width="37.7109375" customWidth="1"/>
    <col min="7932" max="7932" width="12.140625" customWidth="1"/>
    <col min="7933" max="7933" width="11" customWidth="1"/>
    <col min="7934" max="7934" width="12.5703125" customWidth="1"/>
    <col min="7935" max="7935" width="2" customWidth="1"/>
    <col min="7936" max="7937" width="12.5703125" customWidth="1"/>
    <col min="7938" max="7938" width="2.42578125" customWidth="1"/>
    <col min="7939" max="7939" width="3" customWidth="1"/>
    <col min="7940" max="7940" width="11.7109375" customWidth="1"/>
    <col min="7941" max="7942" width="11.85546875" customWidth="1"/>
    <col min="7943" max="7943" width="1.5703125" customWidth="1"/>
    <col min="7944" max="7944" width="12.140625" customWidth="1"/>
    <col min="7945" max="7945" width="9.42578125" customWidth="1"/>
    <col min="7946" max="7946" width="1.42578125" customWidth="1"/>
    <col min="7947" max="7947" width="1.85546875" customWidth="1"/>
    <col min="7948" max="7948" width="12.85546875" customWidth="1"/>
    <col min="7949" max="7949" width="12.140625" customWidth="1"/>
    <col min="7950" max="7950" width="12.7109375" customWidth="1"/>
    <col min="7951" max="7951" width="12.140625" customWidth="1"/>
    <col min="7952" max="7952" width="12.5703125" customWidth="1"/>
    <col min="7953" max="7953" width="13.28515625" customWidth="1"/>
    <col min="7954" max="7954" width="16" bestFit="1" customWidth="1"/>
    <col min="8185" max="8185" width="0.85546875" customWidth="1"/>
    <col min="8186" max="8186" width="3.28515625" customWidth="1"/>
    <col min="8187" max="8187" width="37.7109375" customWidth="1"/>
    <col min="8188" max="8188" width="12.140625" customWidth="1"/>
    <col min="8189" max="8189" width="11" customWidth="1"/>
    <col min="8190" max="8190" width="12.5703125" customWidth="1"/>
    <col min="8191" max="8191" width="2" customWidth="1"/>
    <col min="8192" max="8193" width="12.5703125" customWidth="1"/>
    <col min="8194" max="8194" width="2.42578125" customWidth="1"/>
    <col min="8195" max="8195" width="3" customWidth="1"/>
    <col min="8196" max="8196" width="11.7109375" customWidth="1"/>
    <col min="8197" max="8198" width="11.85546875" customWidth="1"/>
    <col min="8199" max="8199" width="1.5703125" customWidth="1"/>
    <col min="8200" max="8200" width="12.140625" customWidth="1"/>
    <col min="8201" max="8201" width="9.42578125" customWidth="1"/>
    <col min="8202" max="8202" width="1.42578125" customWidth="1"/>
    <col min="8203" max="8203" width="1.85546875" customWidth="1"/>
    <col min="8204" max="8204" width="12.85546875" customWidth="1"/>
    <col min="8205" max="8205" width="12.140625" customWidth="1"/>
    <col min="8206" max="8206" width="12.7109375" customWidth="1"/>
    <col min="8207" max="8207" width="12.140625" customWidth="1"/>
    <col min="8208" max="8208" width="12.5703125" customWidth="1"/>
    <col min="8209" max="8209" width="13.28515625" customWidth="1"/>
    <col min="8210" max="8210" width="16" bestFit="1" customWidth="1"/>
    <col min="8441" max="8441" width="0.85546875" customWidth="1"/>
    <col min="8442" max="8442" width="3.28515625" customWidth="1"/>
    <col min="8443" max="8443" width="37.7109375" customWidth="1"/>
    <col min="8444" max="8444" width="12.140625" customWidth="1"/>
    <col min="8445" max="8445" width="11" customWidth="1"/>
    <col min="8446" max="8446" width="12.5703125" customWidth="1"/>
    <col min="8447" max="8447" width="2" customWidth="1"/>
    <col min="8448" max="8449" width="12.5703125" customWidth="1"/>
    <col min="8450" max="8450" width="2.42578125" customWidth="1"/>
    <col min="8451" max="8451" width="3" customWidth="1"/>
    <col min="8452" max="8452" width="11.7109375" customWidth="1"/>
    <col min="8453" max="8454" width="11.85546875" customWidth="1"/>
    <col min="8455" max="8455" width="1.5703125" customWidth="1"/>
    <col min="8456" max="8456" width="12.140625" customWidth="1"/>
    <col min="8457" max="8457" width="9.42578125" customWidth="1"/>
    <col min="8458" max="8458" width="1.42578125" customWidth="1"/>
    <col min="8459" max="8459" width="1.85546875" customWidth="1"/>
    <col min="8460" max="8460" width="12.85546875" customWidth="1"/>
    <col min="8461" max="8461" width="12.140625" customWidth="1"/>
    <col min="8462" max="8462" width="12.7109375" customWidth="1"/>
    <col min="8463" max="8463" width="12.140625" customWidth="1"/>
    <col min="8464" max="8464" width="12.5703125" customWidth="1"/>
    <col min="8465" max="8465" width="13.28515625" customWidth="1"/>
    <col min="8466" max="8466" width="16" bestFit="1" customWidth="1"/>
    <col min="8697" max="8697" width="0.85546875" customWidth="1"/>
    <col min="8698" max="8698" width="3.28515625" customWidth="1"/>
    <col min="8699" max="8699" width="37.7109375" customWidth="1"/>
    <col min="8700" max="8700" width="12.140625" customWidth="1"/>
    <col min="8701" max="8701" width="11" customWidth="1"/>
    <col min="8702" max="8702" width="12.5703125" customWidth="1"/>
    <col min="8703" max="8703" width="2" customWidth="1"/>
    <col min="8704" max="8705" width="12.5703125" customWidth="1"/>
    <col min="8706" max="8706" width="2.42578125" customWidth="1"/>
    <col min="8707" max="8707" width="3" customWidth="1"/>
    <col min="8708" max="8708" width="11.7109375" customWidth="1"/>
    <col min="8709" max="8710" width="11.85546875" customWidth="1"/>
    <col min="8711" max="8711" width="1.5703125" customWidth="1"/>
    <col min="8712" max="8712" width="12.140625" customWidth="1"/>
    <col min="8713" max="8713" width="9.42578125" customWidth="1"/>
    <col min="8714" max="8714" width="1.42578125" customWidth="1"/>
    <col min="8715" max="8715" width="1.85546875" customWidth="1"/>
    <col min="8716" max="8716" width="12.85546875" customWidth="1"/>
    <col min="8717" max="8717" width="12.140625" customWidth="1"/>
    <col min="8718" max="8718" width="12.7109375" customWidth="1"/>
    <col min="8719" max="8719" width="12.140625" customWidth="1"/>
    <col min="8720" max="8720" width="12.5703125" customWidth="1"/>
    <col min="8721" max="8721" width="13.28515625" customWidth="1"/>
    <col min="8722" max="8722" width="16" bestFit="1" customWidth="1"/>
    <col min="8953" max="8953" width="0.85546875" customWidth="1"/>
    <col min="8954" max="8954" width="3.28515625" customWidth="1"/>
    <col min="8955" max="8955" width="37.7109375" customWidth="1"/>
    <col min="8956" max="8956" width="12.140625" customWidth="1"/>
    <col min="8957" max="8957" width="11" customWidth="1"/>
    <col min="8958" max="8958" width="12.5703125" customWidth="1"/>
    <col min="8959" max="8959" width="2" customWidth="1"/>
    <col min="8960" max="8961" width="12.5703125" customWidth="1"/>
    <col min="8962" max="8962" width="2.42578125" customWidth="1"/>
    <col min="8963" max="8963" width="3" customWidth="1"/>
    <col min="8964" max="8964" width="11.7109375" customWidth="1"/>
    <col min="8965" max="8966" width="11.85546875" customWidth="1"/>
    <col min="8967" max="8967" width="1.5703125" customWidth="1"/>
    <col min="8968" max="8968" width="12.140625" customWidth="1"/>
    <col min="8969" max="8969" width="9.42578125" customWidth="1"/>
    <col min="8970" max="8970" width="1.42578125" customWidth="1"/>
    <col min="8971" max="8971" width="1.85546875" customWidth="1"/>
    <col min="8972" max="8972" width="12.85546875" customWidth="1"/>
    <col min="8973" max="8973" width="12.140625" customWidth="1"/>
    <col min="8974" max="8974" width="12.7109375" customWidth="1"/>
    <col min="8975" max="8975" width="12.140625" customWidth="1"/>
    <col min="8976" max="8976" width="12.5703125" customWidth="1"/>
    <col min="8977" max="8977" width="13.28515625" customWidth="1"/>
    <col min="8978" max="8978" width="16" bestFit="1" customWidth="1"/>
    <col min="9209" max="9209" width="0.85546875" customWidth="1"/>
    <col min="9210" max="9210" width="3.28515625" customWidth="1"/>
    <col min="9211" max="9211" width="37.7109375" customWidth="1"/>
    <col min="9212" max="9212" width="12.140625" customWidth="1"/>
    <col min="9213" max="9213" width="11" customWidth="1"/>
    <col min="9214" max="9214" width="12.5703125" customWidth="1"/>
    <col min="9215" max="9215" width="2" customWidth="1"/>
    <col min="9216" max="9217" width="12.5703125" customWidth="1"/>
    <col min="9218" max="9218" width="2.42578125" customWidth="1"/>
    <col min="9219" max="9219" width="3" customWidth="1"/>
    <col min="9220" max="9220" width="11.7109375" customWidth="1"/>
    <col min="9221" max="9222" width="11.85546875" customWidth="1"/>
    <col min="9223" max="9223" width="1.5703125" customWidth="1"/>
    <col min="9224" max="9224" width="12.140625" customWidth="1"/>
    <col min="9225" max="9225" width="9.42578125" customWidth="1"/>
    <col min="9226" max="9226" width="1.42578125" customWidth="1"/>
    <col min="9227" max="9227" width="1.85546875" customWidth="1"/>
    <col min="9228" max="9228" width="12.85546875" customWidth="1"/>
    <col min="9229" max="9229" width="12.140625" customWidth="1"/>
    <col min="9230" max="9230" width="12.7109375" customWidth="1"/>
    <col min="9231" max="9231" width="12.140625" customWidth="1"/>
    <col min="9232" max="9232" width="12.5703125" customWidth="1"/>
    <col min="9233" max="9233" width="13.28515625" customWidth="1"/>
    <col min="9234" max="9234" width="16" bestFit="1" customWidth="1"/>
    <col min="9465" max="9465" width="0.85546875" customWidth="1"/>
    <col min="9466" max="9466" width="3.28515625" customWidth="1"/>
    <col min="9467" max="9467" width="37.7109375" customWidth="1"/>
    <col min="9468" max="9468" width="12.140625" customWidth="1"/>
    <col min="9469" max="9469" width="11" customWidth="1"/>
    <col min="9470" max="9470" width="12.5703125" customWidth="1"/>
    <col min="9471" max="9471" width="2" customWidth="1"/>
    <col min="9472" max="9473" width="12.5703125" customWidth="1"/>
    <col min="9474" max="9474" width="2.42578125" customWidth="1"/>
    <col min="9475" max="9475" width="3" customWidth="1"/>
    <col min="9476" max="9476" width="11.7109375" customWidth="1"/>
    <col min="9477" max="9478" width="11.85546875" customWidth="1"/>
    <col min="9479" max="9479" width="1.5703125" customWidth="1"/>
    <col min="9480" max="9480" width="12.140625" customWidth="1"/>
    <col min="9481" max="9481" width="9.42578125" customWidth="1"/>
    <col min="9482" max="9482" width="1.42578125" customWidth="1"/>
    <col min="9483" max="9483" width="1.85546875" customWidth="1"/>
    <col min="9484" max="9484" width="12.85546875" customWidth="1"/>
    <col min="9485" max="9485" width="12.140625" customWidth="1"/>
    <col min="9486" max="9486" width="12.7109375" customWidth="1"/>
    <col min="9487" max="9487" width="12.140625" customWidth="1"/>
    <col min="9488" max="9488" width="12.5703125" customWidth="1"/>
    <col min="9489" max="9489" width="13.28515625" customWidth="1"/>
    <col min="9490" max="9490" width="16" bestFit="1" customWidth="1"/>
    <col min="9721" max="9721" width="0.85546875" customWidth="1"/>
    <col min="9722" max="9722" width="3.28515625" customWidth="1"/>
    <col min="9723" max="9723" width="37.7109375" customWidth="1"/>
    <col min="9724" max="9724" width="12.140625" customWidth="1"/>
    <col min="9725" max="9725" width="11" customWidth="1"/>
    <col min="9726" max="9726" width="12.5703125" customWidth="1"/>
    <col min="9727" max="9727" width="2" customWidth="1"/>
    <col min="9728" max="9729" width="12.5703125" customWidth="1"/>
    <col min="9730" max="9730" width="2.42578125" customWidth="1"/>
    <col min="9731" max="9731" width="3" customWidth="1"/>
    <col min="9732" max="9732" width="11.7109375" customWidth="1"/>
    <col min="9733" max="9734" width="11.85546875" customWidth="1"/>
    <col min="9735" max="9735" width="1.5703125" customWidth="1"/>
    <col min="9736" max="9736" width="12.140625" customWidth="1"/>
    <col min="9737" max="9737" width="9.42578125" customWidth="1"/>
    <col min="9738" max="9738" width="1.42578125" customWidth="1"/>
    <col min="9739" max="9739" width="1.85546875" customWidth="1"/>
    <col min="9740" max="9740" width="12.85546875" customWidth="1"/>
    <col min="9741" max="9741" width="12.140625" customWidth="1"/>
    <col min="9742" max="9742" width="12.7109375" customWidth="1"/>
    <col min="9743" max="9743" width="12.140625" customWidth="1"/>
    <col min="9744" max="9744" width="12.5703125" customWidth="1"/>
    <col min="9745" max="9745" width="13.28515625" customWidth="1"/>
    <col min="9746" max="9746" width="16" bestFit="1" customWidth="1"/>
    <col min="9977" max="9977" width="0.85546875" customWidth="1"/>
    <col min="9978" max="9978" width="3.28515625" customWidth="1"/>
    <col min="9979" max="9979" width="37.7109375" customWidth="1"/>
    <col min="9980" max="9980" width="12.140625" customWidth="1"/>
    <col min="9981" max="9981" width="11" customWidth="1"/>
    <col min="9982" max="9982" width="12.5703125" customWidth="1"/>
    <col min="9983" max="9983" width="2" customWidth="1"/>
    <col min="9984" max="9985" width="12.5703125" customWidth="1"/>
    <col min="9986" max="9986" width="2.42578125" customWidth="1"/>
    <col min="9987" max="9987" width="3" customWidth="1"/>
    <col min="9988" max="9988" width="11.7109375" customWidth="1"/>
    <col min="9989" max="9990" width="11.85546875" customWidth="1"/>
    <col min="9991" max="9991" width="1.5703125" customWidth="1"/>
    <col min="9992" max="9992" width="12.140625" customWidth="1"/>
    <col min="9993" max="9993" width="9.42578125" customWidth="1"/>
    <col min="9994" max="9994" width="1.42578125" customWidth="1"/>
    <col min="9995" max="9995" width="1.85546875" customWidth="1"/>
    <col min="9996" max="9996" width="12.85546875" customWidth="1"/>
    <col min="9997" max="9997" width="12.140625" customWidth="1"/>
    <col min="9998" max="9998" width="12.7109375" customWidth="1"/>
    <col min="9999" max="9999" width="12.140625" customWidth="1"/>
    <col min="10000" max="10000" width="12.5703125" customWidth="1"/>
    <col min="10001" max="10001" width="13.28515625" customWidth="1"/>
    <col min="10002" max="10002" width="16" bestFit="1" customWidth="1"/>
    <col min="10233" max="10233" width="0.85546875" customWidth="1"/>
    <col min="10234" max="10234" width="3.28515625" customWidth="1"/>
    <col min="10235" max="10235" width="37.7109375" customWidth="1"/>
    <col min="10236" max="10236" width="12.140625" customWidth="1"/>
    <col min="10237" max="10237" width="11" customWidth="1"/>
    <col min="10238" max="10238" width="12.5703125" customWidth="1"/>
    <col min="10239" max="10239" width="2" customWidth="1"/>
    <col min="10240" max="10241" width="12.5703125" customWidth="1"/>
    <col min="10242" max="10242" width="2.42578125" customWidth="1"/>
    <col min="10243" max="10243" width="3" customWidth="1"/>
    <col min="10244" max="10244" width="11.7109375" customWidth="1"/>
    <col min="10245" max="10246" width="11.85546875" customWidth="1"/>
    <col min="10247" max="10247" width="1.5703125" customWidth="1"/>
    <col min="10248" max="10248" width="12.140625" customWidth="1"/>
    <col min="10249" max="10249" width="9.42578125" customWidth="1"/>
    <col min="10250" max="10250" width="1.42578125" customWidth="1"/>
    <col min="10251" max="10251" width="1.85546875" customWidth="1"/>
    <col min="10252" max="10252" width="12.85546875" customWidth="1"/>
    <col min="10253" max="10253" width="12.140625" customWidth="1"/>
    <col min="10254" max="10254" width="12.7109375" customWidth="1"/>
    <col min="10255" max="10255" width="12.140625" customWidth="1"/>
    <col min="10256" max="10256" width="12.5703125" customWidth="1"/>
    <col min="10257" max="10257" width="13.28515625" customWidth="1"/>
    <col min="10258" max="10258" width="16" bestFit="1" customWidth="1"/>
    <col min="10489" max="10489" width="0.85546875" customWidth="1"/>
    <col min="10490" max="10490" width="3.28515625" customWidth="1"/>
    <col min="10491" max="10491" width="37.7109375" customWidth="1"/>
    <col min="10492" max="10492" width="12.140625" customWidth="1"/>
    <col min="10493" max="10493" width="11" customWidth="1"/>
    <col min="10494" max="10494" width="12.5703125" customWidth="1"/>
    <col min="10495" max="10495" width="2" customWidth="1"/>
    <col min="10496" max="10497" width="12.5703125" customWidth="1"/>
    <col min="10498" max="10498" width="2.42578125" customWidth="1"/>
    <col min="10499" max="10499" width="3" customWidth="1"/>
    <col min="10500" max="10500" width="11.7109375" customWidth="1"/>
    <col min="10501" max="10502" width="11.85546875" customWidth="1"/>
    <col min="10503" max="10503" width="1.5703125" customWidth="1"/>
    <col min="10504" max="10504" width="12.140625" customWidth="1"/>
    <col min="10505" max="10505" width="9.42578125" customWidth="1"/>
    <col min="10506" max="10506" width="1.42578125" customWidth="1"/>
    <col min="10507" max="10507" width="1.85546875" customWidth="1"/>
    <col min="10508" max="10508" width="12.85546875" customWidth="1"/>
    <col min="10509" max="10509" width="12.140625" customWidth="1"/>
    <col min="10510" max="10510" width="12.7109375" customWidth="1"/>
    <col min="10511" max="10511" width="12.140625" customWidth="1"/>
    <col min="10512" max="10512" width="12.5703125" customWidth="1"/>
    <col min="10513" max="10513" width="13.28515625" customWidth="1"/>
    <col min="10514" max="10514" width="16" bestFit="1" customWidth="1"/>
    <col min="10745" max="10745" width="0.85546875" customWidth="1"/>
    <col min="10746" max="10746" width="3.28515625" customWidth="1"/>
    <col min="10747" max="10747" width="37.7109375" customWidth="1"/>
    <col min="10748" max="10748" width="12.140625" customWidth="1"/>
    <col min="10749" max="10749" width="11" customWidth="1"/>
    <col min="10750" max="10750" width="12.5703125" customWidth="1"/>
    <col min="10751" max="10751" width="2" customWidth="1"/>
    <col min="10752" max="10753" width="12.5703125" customWidth="1"/>
    <col min="10754" max="10754" width="2.42578125" customWidth="1"/>
    <col min="10755" max="10755" width="3" customWidth="1"/>
    <col min="10756" max="10756" width="11.7109375" customWidth="1"/>
    <col min="10757" max="10758" width="11.85546875" customWidth="1"/>
    <col min="10759" max="10759" width="1.5703125" customWidth="1"/>
    <col min="10760" max="10760" width="12.140625" customWidth="1"/>
    <col min="10761" max="10761" width="9.42578125" customWidth="1"/>
    <col min="10762" max="10762" width="1.42578125" customWidth="1"/>
    <col min="10763" max="10763" width="1.85546875" customWidth="1"/>
    <col min="10764" max="10764" width="12.85546875" customWidth="1"/>
    <col min="10765" max="10765" width="12.140625" customWidth="1"/>
    <col min="10766" max="10766" width="12.7109375" customWidth="1"/>
    <col min="10767" max="10767" width="12.140625" customWidth="1"/>
    <col min="10768" max="10768" width="12.5703125" customWidth="1"/>
    <col min="10769" max="10769" width="13.28515625" customWidth="1"/>
    <col min="10770" max="10770" width="16" bestFit="1" customWidth="1"/>
    <col min="11001" max="11001" width="0.85546875" customWidth="1"/>
    <col min="11002" max="11002" width="3.28515625" customWidth="1"/>
    <col min="11003" max="11003" width="37.7109375" customWidth="1"/>
    <col min="11004" max="11004" width="12.140625" customWidth="1"/>
    <col min="11005" max="11005" width="11" customWidth="1"/>
    <col min="11006" max="11006" width="12.5703125" customWidth="1"/>
    <col min="11007" max="11007" width="2" customWidth="1"/>
    <col min="11008" max="11009" width="12.5703125" customWidth="1"/>
    <col min="11010" max="11010" width="2.42578125" customWidth="1"/>
    <col min="11011" max="11011" width="3" customWidth="1"/>
    <col min="11012" max="11012" width="11.7109375" customWidth="1"/>
    <col min="11013" max="11014" width="11.85546875" customWidth="1"/>
    <col min="11015" max="11015" width="1.5703125" customWidth="1"/>
    <col min="11016" max="11016" width="12.140625" customWidth="1"/>
    <col min="11017" max="11017" width="9.42578125" customWidth="1"/>
    <col min="11018" max="11018" width="1.42578125" customWidth="1"/>
    <col min="11019" max="11019" width="1.85546875" customWidth="1"/>
    <col min="11020" max="11020" width="12.85546875" customWidth="1"/>
    <col min="11021" max="11021" width="12.140625" customWidth="1"/>
    <col min="11022" max="11022" width="12.7109375" customWidth="1"/>
    <col min="11023" max="11023" width="12.140625" customWidth="1"/>
    <col min="11024" max="11024" width="12.5703125" customWidth="1"/>
    <col min="11025" max="11025" width="13.28515625" customWidth="1"/>
    <col min="11026" max="11026" width="16" bestFit="1" customWidth="1"/>
    <col min="11257" max="11257" width="0.85546875" customWidth="1"/>
    <col min="11258" max="11258" width="3.28515625" customWidth="1"/>
    <col min="11259" max="11259" width="37.7109375" customWidth="1"/>
    <col min="11260" max="11260" width="12.140625" customWidth="1"/>
    <col min="11261" max="11261" width="11" customWidth="1"/>
    <col min="11262" max="11262" width="12.5703125" customWidth="1"/>
    <col min="11263" max="11263" width="2" customWidth="1"/>
    <col min="11264" max="11265" width="12.5703125" customWidth="1"/>
    <col min="11266" max="11266" width="2.42578125" customWidth="1"/>
    <col min="11267" max="11267" width="3" customWidth="1"/>
    <col min="11268" max="11268" width="11.7109375" customWidth="1"/>
    <col min="11269" max="11270" width="11.85546875" customWidth="1"/>
    <col min="11271" max="11271" width="1.5703125" customWidth="1"/>
    <col min="11272" max="11272" width="12.140625" customWidth="1"/>
    <col min="11273" max="11273" width="9.42578125" customWidth="1"/>
    <col min="11274" max="11274" width="1.42578125" customWidth="1"/>
    <col min="11275" max="11275" width="1.85546875" customWidth="1"/>
    <col min="11276" max="11276" width="12.85546875" customWidth="1"/>
    <col min="11277" max="11277" width="12.140625" customWidth="1"/>
    <col min="11278" max="11278" width="12.7109375" customWidth="1"/>
    <col min="11279" max="11279" width="12.140625" customWidth="1"/>
    <col min="11280" max="11280" width="12.5703125" customWidth="1"/>
    <col min="11281" max="11281" width="13.28515625" customWidth="1"/>
    <col min="11282" max="11282" width="16" bestFit="1" customWidth="1"/>
    <col min="11513" max="11513" width="0.85546875" customWidth="1"/>
    <col min="11514" max="11514" width="3.28515625" customWidth="1"/>
    <col min="11515" max="11515" width="37.7109375" customWidth="1"/>
    <col min="11516" max="11516" width="12.140625" customWidth="1"/>
    <col min="11517" max="11517" width="11" customWidth="1"/>
    <col min="11518" max="11518" width="12.5703125" customWidth="1"/>
    <col min="11519" max="11519" width="2" customWidth="1"/>
    <col min="11520" max="11521" width="12.5703125" customWidth="1"/>
    <col min="11522" max="11522" width="2.42578125" customWidth="1"/>
    <col min="11523" max="11523" width="3" customWidth="1"/>
    <col min="11524" max="11524" width="11.7109375" customWidth="1"/>
    <col min="11525" max="11526" width="11.85546875" customWidth="1"/>
    <col min="11527" max="11527" width="1.5703125" customWidth="1"/>
    <col min="11528" max="11528" width="12.140625" customWidth="1"/>
    <col min="11529" max="11529" width="9.42578125" customWidth="1"/>
    <col min="11530" max="11530" width="1.42578125" customWidth="1"/>
    <col min="11531" max="11531" width="1.85546875" customWidth="1"/>
    <col min="11532" max="11532" width="12.85546875" customWidth="1"/>
    <col min="11533" max="11533" width="12.140625" customWidth="1"/>
    <col min="11534" max="11534" width="12.7109375" customWidth="1"/>
    <col min="11535" max="11535" width="12.140625" customWidth="1"/>
    <col min="11536" max="11536" width="12.5703125" customWidth="1"/>
    <col min="11537" max="11537" width="13.28515625" customWidth="1"/>
    <col min="11538" max="11538" width="16" bestFit="1" customWidth="1"/>
    <col min="11769" max="11769" width="0.85546875" customWidth="1"/>
    <col min="11770" max="11770" width="3.28515625" customWidth="1"/>
    <col min="11771" max="11771" width="37.7109375" customWidth="1"/>
    <col min="11772" max="11772" width="12.140625" customWidth="1"/>
    <col min="11773" max="11773" width="11" customWidth="1"/>
    <col min="11774" max="11774" width="12.5703125" customWidth="1"/>
    <col min="11775" max="11775" width="2" customWidth="1"/>
    <col min="11776" max="11777" width="12.5703125" customWidth="1"/>
    <col min="11778" max="11778" width="2.42578125" customWidth="1"/>
    <col min="11779" max="11779" width="3" customWidth="1"/>
    <col min="11780" max="11780" width="11.7109375" customWidth="1"/>
    <col min="11781" max="11782" width="11.85546875" customWidth="1"/>
    <col min="11783" max="11783" width="1.5703125" customWidth="1"/>
    <col min="11784" max="11784" width="12.140625" customWidth="1"/>
    <col min="11785" max="11785" width="9.42578125" customWidth="1"/>
    <col min="11786" max="11786" width="1.42578125" customWidth="1"/>
    <col min="11787" max="11787" width="1.85546875" customWidth="1"/>
    <col min="11788" max="11788" width="12.85546875" customWidth="1"/>
    <col min="11789" max="11789" width="12.140625" customWidth="1"/>
    <col min="11790" max="11790" width="12.7109375" customWidth="1"/>
    <col min="11791" max="11791" width="12.140625" customWidth="1"/>
    <col min="11792" max="11792" width="12.5703125" customWidth="1"/>
    <col min="11793" max="11793" width="13.28515625" customWidth="1"/>
    <col min="11794" max="11794" width="16" bestFit="1" customWidth="1"/>
    <col min="12025" max="12025" width="0.85546875" customWidth="1"/>
    <col min="12026" max="12026" width="3.28515625" customWidth="1"/>
    <col min="12027" max="12027" width="37.7109375" customWidth="1"/>
    <col min="12028" max="12028" width="12.140625" customWidth="1"/>
    <col min="12029" max="12029" width="11" customWidth="1"/>
    <col min="12030" max="12030" width="12.5703125" customWidth="1"/>
    <col min="12031" max="12031" width="2" customWidth="1"/>
    <col min="12032" max="12033" width="12.5703125" customWidth="1"/>
    <col min="12034" max="12034" width="2.42578125" customWidth="1"/>
    <col min="12035" max="12035" width="3" customWidth="1"/>
    <col min="12036" max="12036" width="11.7109375" customWidth="1"/>
    <col min="12037" max="12038" width="11.85546875" customWidth="1"/>
    <col min="12039" max="12039" width="1.5703125" customWidth="1"/>
    <col min="12040" max="12040" width="12.140625" customWidth="1"/>
    <col min="12041" max="12041" width="9.42578125" customWidth="1"/>
    <col min="12042" max="12042" width="1.42578125" customWidth="1"/>
    <col min="12043" max="12043" width="1.85546875" customWidth="1"/>
    <col min="12044" max="12044" width="12.85546875" customWidth="1"/>
    <col min="12045" max="12045" width="12.140625" customWidth="1"/>
    <col min="12046" max="12046" width="12.7109375" customWidth="1"/>
    <col min="12047" max="12047" width="12.140625" customWidth="1"/>
    <col min="12048" max="12048" width="12.5703125" customWidth="1"/>
    <col min="12049" max="12049" width="13.28515625" customWidth="1"/>
    <col min="12050" max="12050" width="16" bestFit="1" customWidth="1"/>
    <col min="12281" max="12281" width="0.85546875" customWidth="1"/>
    <col min="12282" max="12282" width="3.28515625" customWidth="1"/>
    <col min="12283" max="12283" width="37.7109375" customWidth="1"/>
    <col min="12284" max="12284" width="12.140625" customWidth="1"/>
    <col min="12285" max="12285" width="11" customWidth="1"/>
    <col min="12286" max="12286" width="12.5703125" customWidth="1"/>
    <col min="12287" max="12287" width="2" customWidth="1"/>
    <col min="12288" max="12289" width="12.5703125" customWidth="1"/>
    <col min="12290" max="12290" width="2.42578125" customWidth="1"/>
    <col min="12291" max="12291" width="3" customWidth="1"/>
    <col min="12292" max="12292" width="11.7109375" customWidth="1"/>
    <col min="12293" max="12294" width="11.85546875" customWidth="1"/>
    <col min="12295" max="12295" width="1.5703125" customWidth="1"/>
    <col min="12296" max="12296" width="12.140625" customWidth="1"/>
    <col min="12297" max="12297" width="9.42578125" customWidth="1"/>
    <col min="12298" max="12298" width="1.42578125" customWidth="1"/>
    <col min="12299" max="12299" width="1.85546875" customWidth="1"/>
    <col min="12300" max="12300" width="12.85546875" customWidth="1"/>
    <col min="12301" max="12301" width="12.140625" customWidth="1"/>
    <col min="12302" max="12302" width="12.7109375" customWidth="1"/>
    <col min="12303" max="12303" width="12.140625" customWidth="1"/>
    <col min="12304" max="12304" width="12.5703125" customWidth="1"/>
    <col min="12305" max="12305" width="13.28515625" customWidth="1"/>
    <col min="12306" max="12306" width="16" bestFit="1" customWidth="1"/>
    <col min="12537" max="12537" width="0.85546875" customWidth="1"/>
    <col min="12538" max="12538" width="3.28515625" customWidth="1"/>
    <col min="12539" max="12539" width="37.7109375" customWidth="1"/>
    <col min="12540" max="12540" width="12.140625" customWidth="1"/>
    <col min="12541" max="12541" width="11" customWidth="1"/>
    <col min="12542" max="12542" width="12.5703125" customWidth="1"/>
    <col min="12543" max="12543" width="2" customWidth="1"/>
    <col min="12544" max="12545" width="12.5703125" customWidth="1"/>
    <col min="12546" max="12546" width="2.42578125" customWidth="1"/>
    <col min="12547" max="12547" width="3" customWidth="1"/>
    <col min="12548" max="12548" width="11.7109375" customWidth="1"/>
    <col min="12549" max="12550" width="11.85546875" customWidth="1"/>
    <col min="12551" max="12551" width="1.5703125" customWidth="1"/>
    <col min="12552" max="12552" width="12.140625" customWidth="1"/>
    <col min="12553" max="12553" width="9.42578125" customWidth="1"/>
    <col min="12554" max="12554" width="1.42578125" customWidth="1"/>
    <col min="12555" max="12555" width="1.85546875" customWidth="1"/>
    <col min="12556" max="12556" width="12.85546875" customWidth="1"/>
    <col min="12557" max="12557" width="12.140625" customWidth="1"/>
    <col min="12558" max="12558" width="12.7109375" customWidth="1"/>
    <col min="12559" max="12559" width="12.140625" customWidth="1"/>
    <col min="12560" max="12560" width="12.5703125" customWidth="1"/>
    <col min="12561" max="12561" width="13.28515625" customWidth="1"/>
    <col min="12562" max="12562" width="16" bestFit="1" customWidth="1"/>
    <col min="12793" max="12793" width="0.85546875" customWidth="1"/>
    <col min="12794" max="12794" width="3.28515625" customWidth="1"/>
    <col min="12795" max="12795" width="37.7109375" customWidth="1"/>
    <col min="12796" max="12796" width="12.140625" customWidth="1"/>
    <col min="12797" max="12797" width="11" customWidth="1"/>
    <col min="12798" max="12798" width="12.5703125" customWidth="1"/>
    <col min="12799" max="12799" width="2" customWidth="1"/>
    <col min="12800" max="12801" width="12.5703125" customWidth="1"/>
    <col min="12802" max="12802" width="2.42578125" customWidth="1"/>
    <col min="12803" max="12803" width="3" customWidth="1"/>
    <col min="12804" max="12804" width="11.7109375" customWidth="1"/>
    <col min="12805" max="12806" width="11.85546875" customWidth="1"/>
    <col min="12807" max="12807" width="1.5703125" customWidth="1"/>
    <col min="12808" max="12808" width="12.140625" customWidth="1"/>
    <col min="12809" max="12809" width="9.42578125" customWidth="1"/>
    <col min="12810" max="12810" width="1.42578125" customWidth="1"/>
    <col min="12811" max="12811" width="1.85546875" customWidth="1"/>
    <col min="12812" max="12812" width="12.85546875" customWidth="1"/>
    <col min="12813" max="12813" width="12.140625" customWidth="1"/>
    <col min="12814" max="12814" width="12.7109375" customWidth="1"/>
    <col min="12815" max="12815" width="12.140625" customWidth="1"/>
    <col min="12816" max="12816" width="12.5703125" customWidth="1"/>
    <col min="12817" max="12817" width="13.28515625" customWidth="1"/>
    <col min="12818" max="12818" width="16" bestFit="1" customWidth="1"/>
    <col min="13049" max="13049" width="0.85546875" customWidth="1"/>
    <col min="13050" max="13050" width="3.28515625" customWidth="1"/>
    <col min="13051" max="13051" width="37.7109375" customWidth="1"/>
    <col min="13052" max="13052" width="12.140625" customWidth="1"/>
    <col min="13053" max="13053" width="11" customWidth="1"/>
    <col min="13054" max="13054" width="12.5703125" customWidth="1"/>
    <col min="13055" max="13055" width="2" customWidth="1"/>
    <col min="13056" max="13057" width="12.5703125" customWidth="1"/>
    <col min="13058" max="13058" width="2.42578125" customWidth="1"/>
    <col min="13059" max="13059" width="3" customWidth="1"/>
    <col min="13060" max="13060" width="11.7109375" customWidth="1"/>
    <col min="13061" max="13062" width="11.85546875" customWidth="1"/>
    <col min="13063" max="13063" width="1.5703125" customWidth="1"/>
    <col min="13064" max="13064" width="12.140625" customWidth="1"/>
    <col min="13065" max="13065" width="9.42578125" customWidth="1"/>
    <col min="13066" max="13066" width="1.42578125" customWidth="1"/>
    <col min="13067" max="13067" width="1.85546875" customWidth="1"/>
    <col min="13068" max="13068" width="12.85546875" customWidth="1"/>
    <col min="13069" max="13069" width="12.140625" customWidth="1"/>
    <col min="13070" max="13070" width="12.7109375" customWidth="1"/>
    <col min="13071" max="13071" width="12.140625" customWidth="1"/>
    <col min="13072" max="13072" width="12.5703125" customWidth="1"/>
    <col min="13073" max="13073" width="13.28515625" customWidth="1"/>
    <col min="13074" max="13074" width="16" bestFit="1" customWidth="1"/>
    <col min="13305" max="13305" width="0.85546875" customWidth="1"/>
    <col min="13306" max="13306" width="3.28515625" customWidth="1"/>
    <col min="13307" max="13307" width="37.7109375" customWidth="1"/>
    <col min="13308" max="13308" width="12.140625" customWidth="1"/>
    <col min="13309" max="13309" width="11" customWidth="1"/>
    <col min="13310" max="13310" width="12.5703125" customWidth="1"/>
    <col min="13311" max="13311" width="2" customWidth="1"/>
    <col min="13312" max="13313" width="12.5703125" customWidth="1"/>
    <col min="13314" max="13314" width="2.42578125" customWidth="1"/>
    <col min="13315" max="13315" width="3" customWidth="1"/>
    <col min="13316" max="13316" width="11.7109375" customWidth="1"/>
    <col min="13317" max="13318" width="11.85546875" customWidth="1"/>
    <col min="13319" max="13319" width="1.5703125" customWidth="1"/>
    <col min="13320" max="13320" width="12.140625" customWidth="1"/>
    <col min="13321" max="13321" width="9.42578125" customWidth="1"/>
    <col min="13322" max="13322" width="1.42578125" customWidth="1"/>
    <col min="13323" max="13323" width="1.85546875" customWidth="1"/>
    <col min="13324" max="13324" width="12.85546875" customWidth="1"/>
    <col min="13325" max="13325" width="12.140625" customWidth="1"/>
    <col min="13326" max="13326" width="12.7109375" customWidth="1"/>
    <col min="13327" max="13327" width="12.140625" customWidth="1"/>
    <col min="13328" max="13328" width="12.5703125" customWidth="1"/>
    <col min="13329" max="13329" width="13.28515625" customWidth="1"/>
    <col min="13330" max="13330" width="16" bestFit="1" customWidth="1"/>
    <col min="13561" max="13561" width="0.85546875" customWidth="1"/>
    <col min="13562" max="13562" width="3.28515625" customWidth="1"/>
    <col min="13563" max="13563" width="37.7109375" customWidth="1"/>
    <col min="13564" max="13564" width="12.140625" customWidth="1"/>
    <col min="13565" max="13565" width="11" customWidth="1"/>
    <col min="13566" max="13566" width="12.5703125" customWidth="1"/>
    <col min="13567" max="13567" width="2" customWidth="1"/>
    <col min="13568" max="13569" width="12.5703125" customWidth="1"/>
    <col min="13570" max="13570" width="2.42578125" customWidth="1"/>
    <col min="13571" max="13571" width="3" customWidth="1"/>
    <col min="13572" max="13572" width="11.7109375" customWidth="1"/>
    <col min="13573" max="13574" width="11.85546875" customWidth="1"/>
    <col min="13575" max="13575" width="1.5703125" customWidth="1"/>
    <col min="13576" max="13576" width="12.140625" customWidth="1"/>
    <col min="13577" max="13577" width="9.42578125" customWidth="1"/>
    <col min="13578" max="13578" width="1.42578125" customWidth="1"/>
    <col min="13579" max="13579" width="1.85546875" customWidth="1"/>
    <col min="13580" max="13580" width="12.85546875" customWidth="1"/>
    <col min="13581" max="13581" width="12.140625" customWidth="1"/>
    <col min="13582" max="13582" width="12.7109375" customWidth="1"/>
    <col min="13583" max="13583" width="12.140625" customWidth="1"/>
    <col min="13584" max="13584" width="12.5703125" customWidth="1"/>
    <col min="13585" max="13585" width="13.28515625" customWidth="1"/>
    <col min="13586" max="13586" width="16" bestFit="1" customWidth="1"/>
    <col min="13817" max="13817" width="0.85546875" customWidth="1"/>
    <col min="13818" max="13818" width="3.28515625" customWidth="1"/>
    <col min="13819" max="13819" width="37.7109375" customWidth="1"/>
    <col min="13820" max="13820" width="12.140625" customWidth="1"/>
    <col min="13821" max="13821" width="11" customWidth="1"/>
    <col min="13822" max="13822" width="12.5703125" customWidth="1"/>
    <col min="13823" max="13823" width="2" customWidth="1"/>
    <col min="13824" max="13825" width="12.5703125" customWidth="1"/>
    <col min="13826" max="13826" width="2.42578125" customWidth="1"/>
    <col min="13827" max="13827" width="3" customWidth="1"/>
    <col min="13828" max="13828" width="11.7109375" customWidth="1"/>
    <col min="13829" max="13830" width="11.85546875" customWidth="1"/>
    <col min="13831" max="13831" width="1.5703125" customWidth="1"/>
    <col min="13832" max="13832" width="12.140625" customWidth="1"/>
    <col min="13833" max="13833" width="9.42578125" customWidth="1"/>
    <col min="13834" max="13834" width="1.42578125" customWidth="1"/>
    <col min="13835" max="13835" width="1.85546875" customWidth="1"/>
    <col min="13836" max="13836" width="12.85546875" customWidth="1"/>
    <col min="13837" max="13837" width="12.140625" customWidth="1"/>
    <col min="13838" max="13838" width="12.7109375" customWidth="1"/>
    <col min="13839" max="13839" width="12.140625" customWidth="1"/>
    <col min="13840" max="13840" width="12.5703125" customWidth="1"/>
    <col min="13841" max="13841" width="13.28515625" customWidth="1"/>
    <col min="13842" max="13842" width="16" bestFit="1" customWidth="1"/>
    <col min="14073" max="14073" width="0.85546875" customWidth="1"/>
    <col min="14074" max="14074" width="3.28515625" customWidth="1"/>
    <col min="14075" max="14075" width="37.7109375" customWidth="1"/>
    <col min="14076" max="14076" width="12.140625" customWidth="1"/>
    <col min="14077" max="14077" width="11" customWidth="1"/>
    <col min="14078" max="14078" width="12.5703125" customWidth="1"/>
    <col min="14079" max="14079" width="2" customWidth="1"/>
    <col min="14080" max="14081" width="12.5703125" customWidth="1"/>
    <col min="14082" max="14082" width="2.42578125" customWidth="1"/>
    <col min="14083" max="14083" width="3" customWidth="1"/>
    <col min="14084" max="14084" width="11.7109375" customWidth="1"/>
    <col min="14085" max="14086" width="11.85546875" customWidth="1"/>
    <col min="14087" max="14087" width="1.5703125" customWidth="1"/>
    <col min="14088" max="14088" width="12.140625" customWidth="1"/>
    <col min="14089" max="14089" width="9.42578125" customWidth="1"/>
    <col min="14090" max="14090" width="1.42578125" customWidth="1"/>
    <col min="14091" max="14091" width="1.85546875" customWidth="1"/>
    <col min="14092" max="14092" width="12.85546875" customWidth="1"/>
    <col min="14093" max="14093" width="12.140625" customWidth="1"/>
    <col min="14094" max="14094" width="12.7109375" customWidth="1"/>
    <col min="14095" max="14095" width="12.140625" customWidth="1"/>
    <col min="14096" max="14096" width="12.5703125" customWidth="1"/>
    <col min="14097" max="14097" width="13.28515625" customWidth="1"/>
    <col min="14098" max="14098" width="16" bestFit="1" customWidth="1"/>
    <col min="14329" max="14329" width="0.85546875" customWidth="1"/>
    <col min="14330" max="14330" width="3.28515625" customWidth="1"/>
    <col min="14331" max="14331" width="37.7109375" customWidth="1"/>
    <col min="14332" max="14332" width="12.140625" customWidth="1"/>
    <col min="14333" max="14333" width="11" customWidth="1"/>
    <col min="14334" max="14334" width="12.5703125" customWidth="1"/>
    <col min="14335" max="14335" width="2" customWidth="1"/>
    <col min="14336" max="14337" width="12.5703125" customWidth="1"/>
    <col min="14338" max="14338" width="2.42578125" customWidth="1"/>
    <col min="14339" max="14339" width="3" customWidth="1"/>
    <col min="14340" max="14340" width="11.7109375" customWidth="1"/>
    <col min="14341" max="14342" width="11.85546875" customWidth="1"/>
    <col min="14343" max="14343" width="1.5703125" customWidth="1"/>
    <col min="14344" max="14344" width="12.140625" customWidth="1"/>
    <col min="14345" max="14345" width="9.42578125" customWidth="1"/>
    <col min="14346" max="14346" width="1.42578125" customWidth="1"/>
    <col min="14347" max="14347" width="1.85546875" customWidth="1"/>
    <col min="14348" max="14348" width="12.85546875" customWidth="1"/>
    <col min="14349" max="14349" width="12.140625" customWidth="1"/>
    <col min="14350" max="14350" width="12.7109375" customWidth="1"/>
    <col min="14351" max="14351" width="12.140625" customWidth="1"/>
    <col min="14352" max="14352" width="12.5703125" customWidth="1"/>
    <col min="14353" max="14353" width="13.28515625" customWidth="1"/>
    <col min="14354" max="14354" width="16" bestFit="1" customWidth="1"/>
    <col min="14585" max="14585" width="0.85546875" customWidth="1"/>
    <col min="14586" max="14586" width="3.28515625" customWidth="1"/>
    <col min="14587" max="14587" width="37.7109375" customWidth="1"/>
    <col min="14588" max="14588" width="12.140625" customWidth="1"/>
    <col min="14589" max="14589" width="11" customWidth="1"/>
    <col min="14590" max="14590" width="12.5703125" customWidth="1"/>
    <col min="14591" max="14591" width="2" customWidth="1"/>
    <col min="14592" max="14593" width="12.5703125" customWidth="1"/>
    <col min="14594" max="14594" width="2.42578125" customWidth="1"/>
    <col min="14595" max="14595" width="3" customWidth="1"/>
    <col min="14596" max="14596" width="11.7109375" customWidth="1"/>
    <col min="14597" max="14598" width="11.85546875" customWidth="1"/>
    <col min="14599" max="14599" width="1.5703125" customWidth="1"/>
    <col min="14600" max="14600" width="12.140625" customWidth="1"/>
    <col min="14601" max="14601" width="9.42578125" customWidth="1"/>
    <col min="14602" max="14602" width="1.42578125" customWidth="1"/>
    <col min="14603" max="14603" width="1.85546875" customWidth="1"/>
    <col min="14604" max="14604" width="12.85546875" customWidth="1"/>
    <col min="14605" max="14605" width="12.140625" customWidth="1"/>
    <col min="14606" max="14606" width="12.7109375" customWidth="1"/>
    <col min="14607" max="14607" width="12.140625" customWidth="1"/>
    <col min="14608" max="14608" width="12.5703125" customWidth="1"/>
    <col min="14609" max="14609" width="13.28515625" customWidth="1"/>
    <col min="14610" max="14610" width="16" bestFit="1" customWidth="1"/>
    <col min="14841" max="14841" width="0.85546875" customWidth="1"/>
    <col min="14842" max="14842" width="3.28515625" customWidth="1"/>
    <col min="14843" max="14843" width="37.7109375" customWidth="1"/>
    <col min="14844" max="14844" width="12.140625" customWidth="1"/>
    <col min="14845" max="14845" width="11" customWidth="1"/>
    <col min="14846" max="14846" width="12.5703125" customWidth="1"/>
    <col min="14847" max="14847" width="2" customWidth="1"/>
    <col min="14848" max="14849" width="12.5703125" customWidth="1"/>
    <col min="14850" max="14850" width="2.42578125" customWidth="1"/>
    <col min="14851" max="14851" width="3" customWidth="1"/>
    <col min="14852" max="14852" width="11.7109375" customWidth="1"/>
    <col min="14853" max="14854" width="11.85546875" customWidth="1"/>
    <col min="14855" max="14855" width="1.5703125" customWidth="1"/>
    <col min="14856" max="14856" width="12.140625" customWidth="1"/>
    <col min="14857" max="14857" width="9.42578125" customWidth="1"/>
    <col min="14858" max="14858" width="1.42578125" customWidth="1"/>
    <col min="14859" max="14859" width="1.85546875" customWidth="1"/>
    <col min="14860" max="14860" width="12.85546875" customWidth="1"/>
    <col min="14861" max="14861" width="12.140625" customWidth="1"/>
    <col min="14862" max="14862" width="12.7109375" customWidth="1"/>
    <col min="14863" max="14863" width="12.140625" customWidth="1"/>
    <col min="14864" max="14864" width="12.5703125" customWidth="1"/>
    <col min="14865" max="14865" width="13.28515625" customWidth="1"/>
    <col min="14866" max="14866" width="16" bestFit="1" customWidth="1"/>
    <col min="15097" max="15097" width="0.85546875" customWidth="1"/>
    <col min="15098" max="15098" width="3.28515625" customWidth="1"/>
    <col min="15099" max="15099" width="37.7109375" customWidth="1"/>
    <col min="15100" max="15100" width="12.140625" customWidth="1"/>
    <col min="15101" max="15101" width="11" customWidth="1"/>
    <col min="15102" max="15102" width="12.5703125" customWidth="1"/>
    <col min="15103" max="15103" width="2" customWidth="1"/>
    <col min="15104" max="15105" width="12.5703125" customWidth="1"/>
    <col min="15106" max="15106" width="2.42578125" customWidth="1"/>
    <col min="15107" max="15107" width="3" customWidth="1"/>
    <col min="15108" max="15108" width="11.7109375" customWidth="1"/>
    <col min="15109" max="15110" width="11.85546875" customWidth="1"/>
    <col min="15111" max="15111" width="1.5703125" customWidth="1"/>
    <col min="15112" max="15112" width="12.140625" customWidth="1"/>
    <col min="15113" max="15113" width="9.42578125" customWidth="1"/>
    <col min="15114" max="15114" width="1.42578125" customWidth="1"/>
    <col min="15115" max="15115" width="1.85546875" customWidth="1"/>
    <col min="15116" max="15116" width="12.85546875" customWidth="1"/>
    <col min="15117" max="15117" width="12.140625" customWidth="1"/>
    <col min="15118" max="15118" width="12.7109375" customWidth="1"/>
    <col min="15119" max="15119" width="12.140625" customWidth="1"/>
    <col min="15120" max="15120" width="12.5703125" customWidth="1"/>
    <col min="15121" max="15121" width="13.28515625" customWidth="1"/>
    <col min="15122" max="15122" width="16" bestFit="1" customWidth="1"/>
    <col min="15353" max="15353" width="0.85546875" customWidth="1"/>
    <col min="15354" max="15354" width="3.28515625" customWidth="1"/>
    <col min="15355" max="15355" width="37.7109375" customWidth="1"/>
    <col min="15356" max="15356" width="12.140625" customWidth="1"/>
    <col min="15357" max="15357" width="11" customWidth="1"/>
    <col min="15358" max="15358" width="12.5703125" customWidth="1"/>
    <col min="15359" max="15359" width="2" customWidth="1"/>
    <col min="15360" max="15361" width="12.5703125" customWidth="1"/>
    <col min="15362" max="15362" width="2.42578125" customWidth="1"/>
    <col min="15363" max="15363" width="3" customWidth="1"/>
    <col min="15364" max="15364" width="11.7109375" customWidth="1"/>
    <col min="15365" max="15366" width="11.85546875" customWidth="1"/>
    <col min="15367" max="15367" width="1.5703125" customWidth="1"/>
    <col min="15368" max="15368" width="12.140625" customWidth="1"/>
    <col min="15369" max="15369" width="9.42578125" customWidth="1"/>
    <col min="15370" max="15370" width="1.42578125" customWidth="1"/>
    <col min="15371" max="15371" width="1.85546875" customWidth="1"/>
    <col min="15372" max="15372" width="12.85546875" customWidth="1"/>
    <col min="15373" max="15373" width="12.140625" customWidth="1"/>
    <col min="15374" max="15374" width="12.7109375" customWidth="1"/>
    <col min="15375" max="15375" width="12.140625" customWidth="1"/>
    <col min="15376" max="15376" width="12.5703125" customWidth="1"/>
    <col min="15377" max="15377" width="13.28515625" customWidth="1"/>
    <col min="15378" max="15378" width="16" bestFit="1" customWidth="1"/>
    <col min="15609" max="15609" width="0.85546875" customWidth="1"/>
    <col min="15610" max="15610" width="3.28515625" customWidth="1"/>
    <col min="15611" max="15611" width="37.7109375" customWidth="1"/>
    <col min="15612" max="15612" width="12.140625" customWidth="1"/>
    <col min="15613" max="15613" width="11" customWidth="1"/>
    <col min="15614" max="15614" width="12.5703125" customWidth="1"/>
    <col min="15615" max="15615" width="2" customWidth="1"/>
    <col min="15616" max="15617" width="12.5703125" customWidth="1"/>
    <col min="15618" max="15618" width="2.42578125" customWidth="1"/>
    <col min="15619" max="15619" width="3" customWidth="1"/>
    <col min="15620" max="15620" width="11.7109375" customWidth="1"/>
    <col min="15621" max="15622" width="11.85546875" customWidth="1"/>
    <col min="15623" max="15623" width="1.5703125" customWidth="1"/>
    <col min="15624" max="15624" width="12.140625" customWidth="1"/>
    <col min="15625" max="15625" width="9.42578125" customWidth="1"/>
    <col min="15626" max="15626" width="1.42578125" customWidth="1"/>
    <col min="15627" max="15627" width="1.85546875" customWidth="1"/>
    <col min="15628" max="15628" width="12.85546875" customWidth="1"/>
    <col min="15629" max="15629" width="12.140625" customWidth="1"/>
    <col min="15630" max="15630" width="12.7109375" customWidth="1"/>
    <col min="15631" max="15631" width="12.140625" customWidth="1"/>
    <col min="15632" max="15632" width="12.5703125" customWidth="1"/>
    <col min="15633" max="15633" width="13.28515625" customWidth="1"/>
    <col min="15634" max="15634" width="16" bestFit="1" customWidth="1"/>
    <col min="15865" max="15865" width="0.85546875" customWidth="1"/>
    <col min="15866" max="15866" width="3.28515625" customWidth="1"/>
    <col min="15867" max="15867" width="37.7109375" customWidth="1"/>
    <col min="15868" max="15868" width="12.140625" customWidth="1"/>
    <col min="15869" max="15869" width="11" customWidth="1"/>
    <col min="15870" max="15870" width="12.5703125" customWidth="1"/>
    <col min="15871" max="15871" width="2" customWidth="1"/>
    <col min="15872" max="15873" width="12.5703125" customWidth="1"/>
    <col min="15874" max="15874" width="2.42578125" customWidth="1"/>
    <col min="15875" max="15875" width="3" customWidth="1"/>
    <col min="15876" max="15876" width="11.7109375" customWidth="1"/>
    <col min="15877" max="15878" width="11.85546875" customWidth="1"/>
    <col min="15879" max="15879" width="1.5703125" customWidth="1"/>
    <col min="15880" max="15880" width="12.140625" customWidth="1"/>
    <col min="15881" max="15881" width="9.42578125" customWidth="1"/>
    <col min="15882" max="15882" width="1.42578125" customWidth="1"/>
    <col min="15883" max="15883" width="1.85546875" customWidth="1"/>
    <col min="15884" max="15884" width="12.85546875" customWidth="1"/>
    <col min="15885" max="15885" width="12.140625" customWidth="1"/>
    <col min="15886" max="15886" width="12.7109375" customWidth="1"/>
    <col min="15887" max="15887" width="12.140625" customWidth="1"/>
    <col min="15888" max="15888" width="12.5703125" customWidth="1"/>
    <col min="15889" max="15889" width="13.28515625" customWidth="1"/>
    <col min="15890" max="15890" width="16" bestFit="1" customWidth="1"/>
    <col min="16121" max="16121" width="0.85546875" customWidth="1"/>
    <col min="16122" max="16122" width="3.28515625" customWidth="1"/>
    <col min="16123" max="16123" width="37.7109375" customWidth="1"/>
    <col min="16124" max="16124" width="12.140625" customWidth="1"/>
    <col min="16125" max="16125" width="11" customWidth="1"/>
    <col min="16126" max="16126" width="12.5703125" customWidth="1"/>
    <col min="16127" max="16127" width="2" customWidth="1"/>
    <col min="16128" max="16129" width="12.5703125" customWidth="1"/>
    <col min="16130" max="16130" width="2.42578125" customWidth="1"/>
    <col min="16131" max="16131" width="3" customWidth="1"/>
    <col min="16132" max="16132" width="11.7109375" customWidth="1"/>
    <col min="16133" max="16134" width="11.85546875" customWidth="1"/>
    <col min="16135" max="16135" width="1.5703125" customWidth="1"/>
    <col min="16136" max="16136" width="12.140625" customWidth="1"/>
    <col min="16137" max="16137" width="9.42578125" customWidth="1"/>
    <col min="16138" max="16138" width="1.42578125" customWidth="1"/>
    <col min="16139" max="16139" width="1.85546875" customWidth="1"/>
    <col min="16140" max="16140" width="12.85546875" customWidth="1"/>
    <col min="16141" max="16141" width="12.140625" customWidth="1"/>
    <col min="16142" max="16142" width="12.7109375" customWidth="1"/>
    <col min="16143" max="16143" width="12.140625" customWidth="1"/>
    <col min="16144" max="16144" width="12.5703125" customWidth="1"/>
    <col min="16145" max="16145" width="13.28515625" customWidth="1"/>
    <col min="16146" max="16146" width="16" bestFit="1" customWidth="1"/>
  </cols>
  <sheetData>
    <row r="2" spans="2:20" ht="18.75" thickBot="1" x14ac:dyDescent="0.3">
      <c r="B2" s="315" t="s">
        <v>5</v>
      </c>
      <c r="C2" s="316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2:20" x14ac:dyDescent="0.25">
      <c r="B3" s="317"/>
      <c r="C3" s="318"/>
      <c r="D3" s="322" t="s">
        <v>753</v>
      </c>
      <c r="E3" s="322"/>
      <c r="F3" s="322"/>
      <c r="G3" s="322"/>
      <c r="H3" s="323"/>
      <c r="I3" s="326" t="s">
        <v>754</v>
      </c>
      <c r="J3" s="326"/>
      <c r="K3" s="326"/>
      <c r="L3" s="326"/>
      <c r="M3" s="327"/>
      <c r="N3" s="326" t="s">
        <v>910</v>
      </c>
      <c r="O3" s="326"/>
      <c r="P3" s="326"/>
      <c r="Q3" s="326"/>
      <c r="R3" s="326"/>
    </row>
    <row r="4" spans="2:20" ht="9" customHeight="1" x14ac:dyDescent="0.25">
      <c r="B4" s="317"/>
      <c r="C4" s="318"/>
      <c r="D4" s="324"/>
      <c r="E4" s="324"/>
      <c r="F4" s="324"/>
      <c r="G4" s="324"/>
      <c r="H4" s="325"/>
      <c r="I4" s="326"/>
      <c r="J4" s="326"/>
      <c r="K4" s="326"/>
      <c r="L4" s="326"/>
      <c r="M4" s="327"/>
      <c r="N4" s="326"/>
      <c r="O4" s="326"/>
      <c r="P4" s="326"/>
      <c r="Q4" s="326"/>
      <c r="R4" s="326"/>
    </row>
    <row r="5" spans="2:20" ht="36" customHeight="1" thickBot="1" x14ac:dyDescent="0.3">
      <c r="B5" s="319"/>
      <c r="C5" s="320"/>
      <c r="D5" s="135" t="s">
        <v>934</v>
      </c>
      <c r="E5" s="136" t="s">
        <v>1</v>
      </c>
      <c r="F5" s="136" t="s">
        <v>2</v>
      </c>
      <c r="G5" s="137" t="s">
        <v>666</v>
      </c>
      <c r="H5" s="138" t="s">
        <v>667</v>
      </c>
      <c r="I5" s="135" t="s">
        <v>934</v>
      </c>
      <c r="J5" s="136" t="s">
        <v>1</v>
      </c>
      <c r="K5" s="136" t="s">
        <v>668</v>
      </c>
      <c r="L5" s="137" t="s">
        <v>666</v>
      </c>
      <c r="M5" s="138" t="s">
        <v>667</v>
      </c>
      <c r="N5" s="139" t="s">
        <v>934</v>
      </c>
      <c r="O5" s="136" t="s">
        <v>1</v>
      </c>
      <c r="P5" s="67" t="s">
        <v>668</v>
      </c>
      <c r="Q5" s="137" t="s">
        <v>666</v>
      </c>
      <c r="R5" s="137" t="s">
        <v>667</v>
      </c>
    </row>
    <row r="6" spans="2:20" ht="6" customHeight="1" x14ac:dyDescent="0.25">
      <c r="D6" s="68"/>
      <c r="E6" s="68"/>
      <c r="F6" s="68"/>
      <c r="G6" s="68"/>
      <c r="H6" s="69"/>
      <c r="I6" s="68"/>
      <c r="J6" s="68"/>
      <c r="K6" s="68"/>
      <c r="L6" s="68"/>
      <c r="M6" s="69"/>
    </row>
    <row r="7" spans="2:20" ht="15.75" x14ac:dyDescent="0.25">
      <c r="B7" s="70">
        <v>1</v>
      </c>
      <c r="C7" s="71" t="s">
        <v>669</v>
      </c>
      <c r="D7" s="73">
        <f>Príjmy!H641</f>
        <v>38608366</v>
      </c>
      <c r="E7" s="73">
        <f>Príjmy!I606</f>
        <v>33884000</v>
      </c>
      <c r="F7" s="73">
        <f>Príjmy!J606</f>
        <v>34783503</v>
      </c>
      <c r="G7" s="73">
        <f>Príjmy!K606</f>
        <v>34189885.589999996</v>
      </c>
      <c r="H7" s="74">
        <f>Príjmy!L606</f>
        <v>31923374</v>
      </c>
      <c r="I7" s="72">
        <f>Príjmy!H642</f>
        <v>200000</v>
      </c>
      <c r="J7" s="73">
        <v>560000</v>
      </c>
      <c r="K7" s="73">
        <f>Príjmy!J635</f>
        <v>1106042</v>
      </c>
      <c r="L7" s="73">
        <v>1807028.74</v>
      </c>
      <c r="M7" s="74">
        <v>1926753.88</v>
      </c>
      <c r="N7" s="86">
        <f t="shared" ref="N7:R8" si="0">D7+I7</f>
        <v>38808366</v>
      </c>
      <c r="O7" s="73">
        <f t="shared" si="0"/>
        <v>34444000</v>
      </c>
      <c r="P7" s="73">
        <f t="shared" si="0"/>
        <v>35889545</v>
      </c>
      <c r="Q7" s="73">
        <f t="shared" si="0"/>
        <v>35996914.329999998</v>
      </c>
      <c r="R7" s="73">
        <f t="shared" si="0"/>
        <v>33850127.880000003</v>
      </c>
    </row>
    <row r="8" spans="2:20" ht="15.75" x14ac:dyDescent="0.25">
      <c r="B8" s="70">
        <v>2</v>
      </c>
      <c r="C8" s="71" t="s">
        <v>670</v>
      </c>
      <c r="D8" s="73">
        <f t="shared" ref="D8:M8" si="1">SUM(D9:D20)</f>
        <v>34727511</v>
      </c>
      <c r="E8" s="73">
        <f t="shared" si="1"/>
        <v>30688400</v>
      </c>
      <c r="F8" s="73">
        <f t="shared" si="1"/>
        <v>31791456</v>
      </c>
      <c r="G8" s="73">
        <f t="shared" si="1"/>
        <v>28821228.040000003</v>
      </c>
      <c r="H8" s="74">
        <f t="shared" si="1"/>
        <v>29346145.100000001</v>
      </c>
      <c r="I8" s="164">
        <f>SUM(I9:I20)</f>
        <v>11278666</v>
      </c>
      <c r="J8" s="163">
        <f t="shared" si="1"/>
        <v>4666180</v>
      </c>
      <c r="K8" s="73">
        <f t="shared" si="1"/>
        <v>6854546</v>
      </c>
      <c r="L8" s="73">
        <f t="shared" si="1"/>
        <v>1771390.62</v>
      </c>
      <c r="M8" s="74">
        <f t="shared" si="1"/>
        <v>4781581.09</v>
      </c>
      <c r="N8" s="86">
        <f t="shared" si="0"/>
        <v>46006177</v>
      </c>
      <c r="O8" s="73">
        <f t="shared" si="0"/>
        <v>35354580</v>
      </c>
      <c r="P8" s="73">
        <f t="shared" si="0"/>
        <v>38646002</v>
      </c>
      <c r="Q8" s="73">
        <f t="shared" si="0"/>
        <v>30592618.660000004</v>
      </c>
      <c r="R8" s="73">
        <f t="shared" si="0"/>
        <v>34127726.189999998</v>
      </c>
    </row>
    <row r="9" spans="2:20" x14ac:dyDescent="0.25">
      <c r="B9" s="75">
        <v>3</v>
      </c>
      <c r="C9" s="76" t="s">
        <v>671</v>
      </c>
      <c r="D9" s="77">
        <f>Výdavky!I8</f>
        <v>478100</v>
      </c>
      <c r="E9" s="77">
        <f>Výdavky!J8</f>
        <v>469600</v>
      </c>
      <c r="F9" s="77">
        <f>Výdavky!K8</f>
        <v>499833</v>
      </c>
      <c r="G9" s="77">
        <f>Výdavky!L8+1</f>
        <v>318116.49</v>
      </c>
      <c r="H9" s="77">
        <f>Výdavky!M8</f>
        <v>469414.8</v>
      </c>
      <c r="I9" s="78">
        <f>Výdavky!N8</f>
        <v>425000</v>
      </c>
      <c r="J9" s="78">
        <f>Výdavky!O8</f>
        <v>698000</v>
      </c>
      <c r="K9" s="78">
        <f>Výdavky!P8</f>
        <v>92470</v>
      </c>
      <c r="L9" s="78">
        <f>Výdavky!Q8</f>
        <v>16452</v>
      </c>
      <c r="M9" s="78">
        <f>Výdavky!R8</f>
        <v>101712.5</v>
      </c>
      <c r="N9" s="77">
        <f t="shared" ref="N9:N20" si="2">D9+I9</f>
        <v>903100</v>
      </c>
      <c r="O9" s="77">
        <f t="shared" ref="O9:O20" si="3">E9+J9</f>
        <v>1167600</v>
      </c>
      <c r="P9" s="77">
        <f t="shared" ref="P9:P20" si="4">F9+K9</f>
        <v>592303</v>
      </c>
      <c r="Q9" s="77">
        <f t="shared" ref="Q9:Q20" si="5">G9+L9</f>
        <v>334568.49</v>
      </c>
      <c r="R9" s="77">
        <f>H9+M9+1</f>
        <v>571128.30000000005</v>
      </c>
    </row>
    <row r="10" spans="2:20" x14ac:dyDescent="0.25">
      <c r="B10" s="75">
        <v>4</v>
      </c>
      <c r="C10" s="76" t="s">
        <v>672</v>
      </c>
      <c r="D10" s="77">
        <f>Výdavky!I121</f>
        <v>84020</v>
      </c>
      <c r="E10" s="77">
        <f>Výdavky!J121</f>
        <v>87500</v>
      </c>
      <c r="F10" s="77">
        <f>Výdavky!K121</f>
        <v>86018</v>
      </c>
      <c r="G10" s="77">
        <f>Výdavky!L121</f>
        <v>60041.39</v>
      </c>
      <c r="H10" s="77">
        <f>Výdavky!M121</f>
        <v>44701.64</v>
      </c>
      <c r="I10" s="78">
        <f>Výdavky!N121</f>
        <v>0</v>
      </c>
      <c r="J10" s="78">
        <f>Výdavky!O121</f>
        <v>0</v>
      </c>
      <c r="K10" s="78">
        <f>Výdavky!P121</f>
        <v>0</v>
      </c>
      <c r="L10" s="78">
        <f>Výdavky!Q121</f>
        <v>0</v>
      </c>
      <c r="M10" s="78">
        <f>Výdavky!R121</f>
        <v>0</v>
      </c>
      <c r="N10" s="77">
        <f t="shared" si="2"/>
        <v>84020</v>
      </c>
      <c r="O10" s="77">
        <f t="shared" si="3"/>
        <v>87500</v>
      </c>
      <c r="P10" s="77">
        <f t="shared" si="4"/>
        <v>86018</v>
      </c>
      <c r="Q10" s="77">
        <f t="shared" si="5"/>
        <v>60041.39</v>
      </c>
      <c r="R10" s="77">
        <f t="shared" ref="R10:R20" si="6">H10+M10</f>
        <v>44701.64</v>
      </c>
    </row>
    <row r="11" spans="2:20" x14ac:dyDescent="0.25">
      <c r="B11" s="75">
        <v>5</v>
      </c>
      <c r="C11" s="76" t="s">
        <v>673</v>
      </c>
      <c r="D11" s="77">
        <f>Výdavky!I154</f>
        <v>3985570</v>
      </c>
      <c r="E11" s="77">
        <f>Výdavky!J154</f>
        <v>3850600</v>
      </c>
      <c r="F11" s="77">
        <f>Výdavky!K154</f>
        <v>3702575</v>
      </c>
      <c r="G11" s="77">
        <f>Výdavky!L154</f>
        <v>3120311.77</v>
      </c>
      <c r="H11" s="77">
        <f>Výdavky!M154</f>
        <v>3171621.59</v>
      </c>
      <c r="I11" s="78">
        <f>Výdavky!N154</f>
        <v>801415</v>
      </c>
      <c r="J11" s="78">
        <f>Výdavky!O154</f>
        <v>523120</v>
      </c>
      <c r="K11" s="78">
        <f>Výdavky!P154</f>
        <v>423830</v>
      </c>
      <c r="L11" s="78">
        <f>Výdavky!Q154</f>
        <v>312248</v>
      </c>
      <c r="M11" s="78">
        <f>Výdavky!R154</f>
        <v>1061885</v>
      </c>
      <c r="N11" s="77">
        <f t="shared" si="2"/>
        <v>4786985</v>
      </c>
      <c r="O11" s="77">
        <f t="shared" si="3"/>
        <v>4373720</v>
      </c>
      <c r="P11" s="77">
        <f t="shared" si="4"/>
        <v>4126405</v>
      </c>
      <c r="Q11" s="77">
        <f t="shared" si="5"/>
        <v>3432559.77</v>
      </c>
      <c r="R11" s="77">
        <f t="shared" si="6"/>
        <v>4233506.59</v>
      </c>
      <c r="T11" s="11">
        <f>N7+N26</f>
        <v>48890877</v>
      </c>
    </row>
    <row r="12" spans="2:20" x14ac:dyDescent="0.25">
      <c r="B12" s="75">
        <v>6</v>
      </c>
      <c r="C12" s="76" t="s">
        <v>674</v>
      </c>
      <c r="D12" s="77">
        <f>Výdavky!I294</f>
        <v>540575</v>
      </c>
      <c r="E12" s="77">
        <f>Výdavky!J294</f>
        <v>502500</v>
      </c>
      <c r="F12" s="77">
        <f>Výdavky!K294</f>
        <v>506040</v>
      </c>
      <c r="G12" s="77">
        <f>Výdavky!L294</f>
        <v>432389.56000000006</v>
      </c>
      <c r="H12" s="77">
        <f>Výdavky!M294</f>
        <v>434758.77</v>
      </c>
      <c r="I12" s="78">
        <f>Výdavky!N294</f>
        <v>20962</v>
      </c>
      <c r="J12" s="78">
        <f>Výdavky!O294</f>
        <v>34212</v>
      </c>
      <c r="K12" s="78">
        <f>Výdavky!P294</f>
        <v>60962</v>
      </c>
      <c r="L12" s="78">
        <f>Výdavky!Q294</f>
        <v>102687</v>
      </c>
      <c r="M12" s="78">
        <f>Výdavky!R294</f>
        <v>247347</v>
      </c>
      <c r="N12" s="77">
        <f t="shared" si="2"/>
        <v>561537</v>
      </c>
      <c r="O12" s="77">
        <f t="shared" si="3"/>
        <v>536712</v>
      </c>
      <c r="P12" s="77">
        <f t="shared" si="4"/>
        <v>567002</v>
      </c>
      <c r="Q12" s="77">
        <f t="shared" si="5"/>
        <v>535076.56000000006</v>
      </c>
      <c r="R12" s="77">
        <f t="shared" si="6"/>
        <v>682105.77</v>
      </c>
    </row>
    <row r="13" spans="2:20" x14ac:dyDescent="0.25">
      <c r="B13" s="75">
        <v>7</v>
      </c>
      <c r="C13" s="76" t="s">
        <v>675</v>
      </c>
      <c r="D13" s="77">
        <f>Výdavky!I425</f>
        <v>1657425</v>
      </c>
      <c r="E13" s="77">
        <f>Výdavky!J425</f>
        <v>1514400</v>
      </c>
      <c r="F13" s="77">
        <f>Výdavky!K425</f>
        <v>1549500</v>
      </c>
      <c r="G13" s="77">
        <f>Výdavky!L425</f>
        <v>1566213.07</v>
      </c>
      <c r="H13" s="77">
        <f>Výdavky!M425</f>
        <v>1475246.5899999999</v>
      </c>
      <c r="I13" s="78">
        <f>Výdavky!N425</f>
        <v>16700</v>
      </c>
      <c r="J13" s="78">
        <f>Výdavky!O425</f>
        <v>65400</v>
      </c>
      <c r="K13" s="78">
        <f>Výdavky!P425</f>
        <v>148177</v>
      </c>
      <c r="L13" s="78">
        <f>Výdavky!Q425</f>
        <v>343635</v>
      </c>
      <c r="M13" s="78">
        <f>Výdavky!R425</f>
        <v>1192102.72</v>
      </c>
      <c r="N13" s="77">
        <f t="shared" si="2"/>
        <v>1674125</v>
      </c>
      <c r="O13" s="77">
        <f t="shared" si="3"/>
        <v>1579800</v>
      </c>
      <c r="P13" s="77">
        <f t="shared" si="4"/>
        <v>1697677</v>
      </c>
      <c r="Q13" s="77">
        <f t="shared" si="5"/>
        <v>1909848.07</v>
      </c>
      <c r="R13" s="77">
        <f t="shared" si="6"/>
        <v>2667349.3099999996</v>
      </c>
    </row>
    <row r="14" spans="2:20" x14ac:dyDescent="0.25">
      <c r="B14" s="75">
        <v>8</v>
      </c>
      <c r="C14" s="76" t="s">
        <v>676</v>
      </c>
      <c r="D14" s="77">
        <f>Výdavky!I554</f>
        <v>4143133</v>
      </c>
      <c r="E14" s="77">
        <f>Výdavky!J554</f>
        <v>2844700</v>
      </c>
      <c r="F14" s="77">
        <f>Výdavky!K554</f>
        <v>3252631</v>
      </c>
      <c r="G14" s="77">
        <f>Výdavky!L554</f>
        <v>3338828</v>
      </c>
      <c r="H14" s="77">
        <f>Výdavky!M554</f>
        <v>3322960</v>
      </c>
      <c r="I14" s="78">
        <f>Výdavky!N554</f>
        <v>5637217</v>
      </c>
      <c r="J14" s="78">
        <f>Výdavky!O554</f>
        <v>1663237</v>
      </c>
      <c r="K14" s="78">
        <f>Výdavky!P554</f>
        <v>3495856</v>
      </c>
      <c r="L14" s="78">
        <f>Výdavky!Q554</f>
        <v>453362.23</v>
      </c>
      <c r="M14" s="78">
        <f>Výdavky!R554</f>
        <v>946935.44</v>
      </c>
      <c r="N14" s="77">
        <f t="shared" si="2"/>
        <v>9780350</v>
      </c>
      <c r="O14" s="77">
        <f t="shared" si="3"/>
        <v>4507937</v>
      </c>
      <c r="P14" s="77">
        <f t="shared" si="4"/>
        <v>6748487</v>
      </c>
      <c r="Q14" s="77">
        <f t="shared" si="5"/>
        <v>3792190.23</v>
      </c>
      <c r="R14" s="77">
        <f t="shared" si="6"/>
        <v>4269895.4399999995</v>
      </c>
    </row>
    <row r="15" spans="2:20" x14ac:dyDescent="0.25">
      <c r="B15" s="75">
        <v>9</v>
      </c>
      <c r="C15" s="76" t="s">
        <v>677</v>
      </c>
      <c r="D15" s="77">
        <f>Výdavky!I789</f>
        <v>14943954</v>
      </c>
      <c r="E15" s="77">
        <f>Výdavky!J789</f>
        <v>13648900</v>
      </c>
      <c r="F15" s="77">
        <f>Výdavky!K789</f>
        <v>13829052</v>
      </c>
      <c r="G15" s="77">
        <f>Výdavky!L789</f>
        <v>12599433.140000001</v>
      </c>
      <c r="H15" s="77">
        <f>Výdavky!M789</f>
        <v>11909140</v>
      </c>
      <c r="I15" s="78">
        <f>Výdavky!N789</f>
        <v>762902</v>
      </c>
      <c r="J15" s="78">
        <f>Výdavky!O789</f>
        <v>604976</v>
      </c>
      <c r="K15" s="78">
        <f>Výdavky!P789</f>
        <v>1342216</v>
      </c>
      <c r="L15" s="78">
        <f>Výdavky!Q789</f>
        <v>307629.76</v>
      </c>
      <c r="M15" s="78">
        <f>Výdavky!R789</f>
        <v>394738.35</v>
      </c>
      <c r="N15" s="77">
        <f t="shared" si="2"/>
        <v>15706856</v>
      </c>
      <c r="O15" s="77">
        <f t="shared" si="3"/>
        <v>14253876</v>
      </c>
      <c r="P15" s="77">
        <f t="shared" si="4"/>
        <v>15171268</v>
      </c>
      <c r="Q15" s="77">
        <f t="shared" si="5"/>
        <v>12907062.9</v>
      </c>
      <c r="R15" s="77">
        <f t="shared" si="6"/>
        <v>12303878.35</v>
      </c>
    </row>
    <row r="16" spans="2:20" x14ac:dyDescent="0.25">
      <c r="B16" s="75">
        <v>10</v>
      </c>
      <c r="C16" s="76" t="s">
        <v>678</v>
      </c>
      <c r="D16" s="77">
        <f>Výdavky!I1861</f>
        <v>1985544</v>
      </c>
      <c r="E16" s="77">
        <f>Výdavky!J1861</f>
        <v>1324500</v>
      </c>
      <c r="F16" s="77">
        <f>Výdavky!K1861</f>
        <v>1692334</v>
      </c>
      <c r="G16" s="77">
        <f>Výdavky!L1861</f>
        <v>1286437.3599999999</v>
      </c>
      <c r="H16" s="77">
        <f>Výdavky!M1861</f>
        <v>1247203.03</v>
      </c>
      <c r="I16" s="78">
        <f>Výdavky!N1861</f>
        <v>986080</v>
      </c>
      <c r="J16" s="78">
        <f>Výdavky!O1861</f>
        <v>989855</v>
      </c>
      <c r="K16" s="78">
        <f>Výdavky!P1861</f>
        <v>1070755</v>
      </c>
      <c r="L16" s="78">
        <f>Výdavky!Q1861</f>
        <v>51585.630000000005</v>
      </c>
      <c r="M16" s="78">
        <f>Výdavky!R1861</f>
        <v>323594.08</v>
      </c>
      <c r="N16" s="77">
        <f t="shared" si="2"/>
        <v>2971624</v>
      </c>
      <c r="O16" s="77">
        <f t="shared" si="3"/>
        <v>2314355</v>
      </c>
      <c r="P16" s="77">
        <f t="shared" si="4"/>
        <v>2763089</v>
      </c>
      <c r="Q16" s="77">
        <f t="shared" si="5"/>
        <v>1338022.9899999998</v>
      </c>
      <c r="R16" s="77">
        <f t="shared" si="6"/>
        <v>1570797.11</v>
      </c>
    </row>
    <row r="17" spans="1:18" x14ac:dyDescent="0.25">
      <c r="B17" s="75">
        <v>11</v>
      </c>
      <c r="C17" s="76" t="s">
        <v>679</v>
      </c>
      <c r="D17" s="77">
        <f>Výdavky!I2048</f>
        <v>403800</v>
      </c>
      <c r="E17" s="77">
        <f>Výdavky!J2048</f>
        <v>348500</v>
      </c>
      <c r="F17" s="77">
        <f>Výdavky!K2048</f>
        <v>385750</v>
      </c>
      <c r="G17" s="77">
        <f>Výdavky!L2048</f>
        <v>289536.68</v>
      </c>
      <c r="H17" s="77">
        <f>Výdavky!M2048</f>
        <v>309192</v>
      </c>
      <c r="I17" s="78">
        <f>Výdavky!N2048</f>
        <v>82620</v>
      </c>
      <c r="J17" s="78">
        <f>Výdavky!O2048</f>
        <v>18320</v>
      </c>
      <c r="K17" s="78">
        <f>Výdavky!P2048</f>
        <v>28620</v>
      </c>
      <c r="L17" s="78">
        <f>Výdavky!Q2048</f>
        <v>21325</v>
      </c>
      <c r="M17" s="78">
        <f>Výdavky!R2048</f>
        <v>55028</v>
      </c>
      <c r="N17" s="77">
        <f t="shared" si="2"/>
        <v>486420</v>
      </c>
      <c r="O17" s="77">
        <f t="shared" si="3"/>
        <v>366820</v>
      </c>
      <c r="P17" s="77">
        <f t="shared" si="4"/>
        <v>414370</v>
      </c>
      <c r="Q17" s="77">
        <f t="shared" si="5"/>
        <v>310861.68</v>
      </c>
      <c r="R17" s="77">
        <f t="shared" si="6"/>
        <v>364220</v>
      </c>
    </row>
    <row r="18" spans="1:18" x14ac:dyDescent="0.25">
      <c r="B18" s="75">
        <v>12</v>
      </c>
      <c r="C18" s="76" t="s">
        <v>680</v>
      </c>
      <c r="D18" s="77">
        <f>Výdavky!I2173</f>
        <v>3638890</v>
      </c>
      <c r="E18" s="77">
        <f>Výdavky!J2173</f>
        <v>3672200</v>
      </c>
      <c r="F18" s="77">
        <f>Výdavky!K2173</f>
        <v>3582573</v>
      </c>
      <c r="G18" s="77">
        <f>Výdavky!L2173</f>
        <v>3674042.99</v>
      </c>
      <c r="H18" s="77">
        <f>Výdavky!M2173</f>
        <v>4715621.78</v>
      </c>
      <c r="I18" s="78">
        <f>Výdavky!N2173</f>
        <v>180770</v>
      </c>
      <c r="J18" s="78">
        <f>Výdavky!O2173</f>
        <v>65060</v>
      </c>
      <c r="K18" s="78">
        <f>Výdavky!P2173</f>
        <v>144660</v>
      </c>
      <c r="L18" s="78">
        <f>Výdavky!Q2173</f>
        <v>162466</v>
      </c>
      <c r="M18" s="78">
        <f>Výdavky!R2173</f>
        <v>325871</v>
      </c>
      <c r="N18" s="77">
        <f t="shared" si="2"/>
        <v>3819660</v>
      </c>
      <c r="O18" s="77">
        <f t="shared" si="3"/>
        <v>3737260</v>
      </c>
      <c r="P18" s="77">
        <f t="shared" si="4"/>
        <v>3727233</v>
      </c>
      <c r="Q18" s="77">
        <f t="shared" si="5"/>
        <v>3836508.99</v>
      </c>
      <c r="R18" s="77">
        <f t="shared" si="6"/>
        <v>5041492.78</v>
      </c>
    </row>
    <row r="19" spans="1:18" x14ac:dyDescent="0.25">
      <c r="B19" s="75">
        <v>13</v>
      </c>
      <c r="C19" s="76" t="s">
        <v>681</v>
      </c>
      <c r="D19" s="77">
        <f>Výdavky!I2362</f>
        <v>2664450</v>
      </c>
      <c r="E19" s="77">
        <f>Výdavky!J2362</f>
        <v>2266300</v>
      </c>
      <c r="F19" s="77">
        <f>Výdavky!K2362</f>
        <v>2542450</v>
      </c>
      <c r="G19" s="77">
        <f>Výdavky!L2362</f>
        <v>2007312.5899999999</v>
      </c>
      <c r="H19" s="77">
        <f>Výdavky!M2362</f>
        <v>2112862.9</v>
      </c>
      <c r="I19" s="78">
        <f>Výdavky!N2362</f>
        <v>10000</v>
      </c>
      <c r="J19" s="78">
        <f>Výdavky!O2362</f>
        <v>4000</v>
      </c>
      <c r="K19" s="78">
        <f>Výdavky!P2362</f>
        <v>47000</v>
      </c>
      <c r="L19" s="78">
        <f>Výdavky!Q2362</f>
        <v>0</v>
      </c>
      <c r="M19" s="78">
        <f>Výdavky!R2362</f>
        <v>24534</v>
      </c>
      <c r="N19" s="77">
        <f t="shared" si="2"/>
        <v>2674450</v>
      </c>
      <c r="O19" s="77">
        <f t="shared" si="3"/>
        <v>2270300</v>
      </c>
      <c r="P19" s="77">
        <f t="shared" si="4"/>
        <v>2589450</v>
      </c>
      <c r="Q19" s="77">
        <f t="shared" si="5"/>
        <v>2007312.5899999999</v>
      </c>
      <c r="R19" s="77">
        <f t="shared" si="6"/>
        <v>2137396.9</v>
      </c>
    </row>
    <row r="20" spans="1:18" x14ac:dyDescent="0.25">
      <c r="B20" s="75">
        <v>14</v>
      </c>
      <c r="C20" s="76" t="s">
        <v>682</v>
      </c>
      <c r="D20" s="77">
        <f>Výdavky!I2560</f>
        <v>202050</v>
      </c>
      <c r="E20" s="77">
        <f>Výdavky!J2560</f>
        <v>158700</v>
      </c>
      <c r="F20" s="77">
        <f>Výdavky!K2560</f>
        <v>162700</v>
      </c>
      <c r="G20" s="77">
        <f>Výdavky!L2560</f>
        <v>128565</v>
      </c>
      <c r="H20" s="77">
        <f>Výdavky!M2560</f>
        <v>133422</v>
      </c>
      <c r="I20" s="78">
        <f>Výdavky!N2560</f>
        <v>2355000</v>
      </c>
      <c r="J20" s="78">
        <f>Výdavky!O2560</f>
        <v>0</v>
      </c>
      <c r="K20" s="78">
        <f>Výdavky!P2560</f>
        <v>0</v>
      </c>
      <c r="L20" s="78">
        <f>Výdavky!Q2560</f>
        <v>0</v>
      </c>
      <c r="M20" s="78">
        <f>Výdavky!R2560</f>
        <v>107833</v>
      </c>
      <c r="N20" s="77">
        <f t="shared" si="2"/>
        <v>2557050</v>
      </c>
      <c r="O20" s="77">
        <f t="shared" si="3"/>
        <v>158700</v>
      </c>
      <c r="P20" s="77">
        <f t="shared" si="4"/>
        <v>162700</v>
      </c>
      <c r="Q20" s="77">
        <f t="shared" si="5"/>
        <v>128565</v>
      </c>
      <c r="R20" s="77">
        <f t="shared" si="6"/>
        <v>241255</v>
      </c>
    </row>
    <row r="21" spans="1:18" ht="15.75" x14ac:dyDescent="0.25">
      <c r="B21" s="70">
        <v>15</v>
      </c>
      <c r="C21" s="71" t="s">
        <v>683</v>
      </c>
      <c r="D21" s="73">
        <f t="shared" ref="D21:H21" si="7">D7-D8</f>
        <v>3880855</v>
      </c>
      <c r="E21" s="73">
        <f t="shared" si="7"/>
        <v>3195600</v>
      </c>
      <c r="F21" s="73">
        <f t="shared" si="7"/>
        <v>2992047</v>
      </c>
      <c r="G21" s="73">
        <f t="shared" si="7"/>
        <v>5368657.5499999933</v>
      </c>
      <c r="H21" s="74">
        <f t="shared" si="7"/>
        <v>2577228.8999999985</v>
      </c>
      <c r="I21" s="72"/>
      <c r="J21" s="73"/>
      <c r="K21" s="73"/>
      <c r="L21" s="73"/>
      <c r="M21" s="74"/>
      <c r="N21" s="86"/>
      <c r="O21" s="73"/>
      <c r="P21" s="73"/>
      <c r="Q21" s="73"/>
      <c r="R21" s="73"/>
    </row>
    <row r="22" spans="1:18" ht="15.75" x14ac:dyDescent="0.25">
      <c r="B22" s="70">
        <v>16</v>
      </c>
      <c r="C22" s="71" t="s">
        <v>684</v>
      </c>
      <c r="D22" s="73"/>
      <c r="E22" s="73"/>
      <c r="F22" s="73"/>
      <c r="G22" s="73"/>
      <c r="H22" s="74"/>
      <c r="I22" s="72">
        <f>I7-I8</f>
        <v>-11078666</v>
      </c>
      <c r="J22" s="73">
        <f t="shared" ref="J22:M22" si="8">J7-J8</f>
        <v>-4106180</v>
      </c>
      <c r="K22" s="73">
        <f t="shared" si="8"/>
        <v>-5748504</v>
      </c>
      <c r="L22" s="73">
        <f t="shared" si="8"/>
        <v>35638.119999999879</v>
      </c>
      <c r="M22" s="74">
        <f t="shared" si="8"/>
        <v>-2854827.21</v>
      </c>
      <c r="N22" s="86"/>
      <c r="O22" s="73"/>
      <c r="P22" s="73"/>
      <c r="Q22" s="73"/>
      <c r="R22" s="73"/>
    </row>
    <row r="23" spans="1:18" ht="15.75" x14ac:dyDescent="0.25">
      <c r="B23" s="70">
        <v>17</v>
      </c>
      <c r="C23" s="71" t="s">
        <v>685</v>
      </c>
      <c r="D23" s="73"/>
      <c r="E23" s="73"/>
      <c r="F23" s="73"/>
      <c r="G23" s="73"/>
      <c r="H23" s="74"/>
      <c r="I23" s="72"/>
      <c r="J23" s="73"/>
      <c r="K23" s="73"/>
      <c r="L23" s="73"/>
      <c r="M23" s="74"/>
      <c r="N23" s="86">
        <f t="shared" ref="N23:Q23" si="9">N7-N8</f>
        <v>-7197811</v>
      </c>
      <c r="O23" s="73">
        <f t="shared" si="9"/>
        <v>-910580</v>
      </c>
      <c r="P23" s="73">
        <f t="shared" si="9"/>
        <v>-2756457</v>
      </c>
      <c r="Q23" s="73">
        <f t="shared" si="9"/>
        <v>5404295.6699999943</v>
      </c>
      <c r="R23" s="73">
        <f>R7-R8-1</f>
        <v>-277599.30999999493</v>
      </c>
    </row>
    <row r="24" spans="1:18" ht="6" customHeight="1" thickBot="1" x14ac:dyDescent="0.3"/>
    <row r="25" spans="1:18" ht="16.5" thickBot="1" x14ac:dyDescent="0.3">
      <c r="B25" s="337" t="s">
        <v>686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9"/>
    </row>
    <row r="26" spans="1:18" ht="15.75" x14ac:dyDescent="0.25">
      <c r="B26" s="88">
        <v>1</v>
      </c>
      <c r="C26" s="331" t="s">
        <v>687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3"/>
      <c r="N26" s="90">
        <f>SUM(N27:N34)</f>
        <v>10082511</v>
      </c>
      <c r="O26" s="89">
        <f>SUM(O27:O34)</f>
        <v>3918755</v>
      </c>
      <c r="P26" s="89">
        <f>SUM(P27:P34)</f>
        <v>5764632</v>
      </c>
      <c r="Q26" s="89">
        <f>SUM(Q27:Q34)</f>
        <v>5357129</v>
      </c>
      <c r="R26" s="89">
        <f>SUM(R27:R34)</f>
        <v>3349328</v>
      </c>
    </row>
    <row r="27" spans="1:18" x14ac:dyDescent="0.25">
      <c r="B27" s="80">
        <f>B26+1</f>
        <v>2</v>
      </c>
      <c r="C27" s="328" t="s">
        <v>755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30"/>
      <c r="N27" s="81">
        <f>2000000+84339+86000+100000+1903105-540255+1500+48000+40700+2000+15000+94265-10000-2000+90000+154602</f>
        <v>4067256</v>
      </c>
      <c r="O27" s="81">
        <v>900000</v>
      </c>
      <c r="P27" s="122">
        <v>2243226</v>
      </c>
      <c r="Q27" s="122">
        <v>1111189</v>
      </c>
      <c r="R27" s="122">
        <v>189404</v>
      </c>
    </row>
    <row r="28" spans="1:18" x14ac:dyDescent="0.25">
      <c r="B28" s="80">
        <f t="shared" ref="B28:B44" si="10">B27+1</f>
        <v>3</v>
      </c>
      <c r="C28" s="328" t="s">
        <v>764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30"/>
      <c r="N28" s="81">
        <v>0</v>
      </c>
      <c r="O28" s="81">
        <v>0</v>
      </c>
      <c r="P28" s="122">
        <v>237217</v>
      </c>
      <c r="Q28" s="122">
        <v>43025</v>
      </c>
      <c r="R28" s="122">
        <v>585264</v>
      </c>
    </row>
    <row r="29" spans="1:18" x14ac:dyDescent="0.25">
      <c r="A29">
        <f>A28+1</f>
        <v>1</v>
      </c>
      <c r="B29" s="80">
        <f t="shared" si="10"/>
        <v>4</v>
      </c>
      <c r="C29" s="328" t="s">
        <v>757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30"/>
      <c r="N29" s="81">
        <v>0</v>
      </c>
      <c r="O29" s="81">
        <v>978500</v>
      </c>
      <c r="P29" s="122">
        <v>978500</v>
      </c>
      <c r="Q29" s="122"/>
      <c r="R29" s="122"/>
    </row>
    <row r="30" spans="1:18" x14ac:dyDescent="0.25">
      <c r="B30" s="80">
        <f t="shared" si="10"/>
        <v>5</v>
      </c>
      <c r="C30" s="328" t="s">
        <v>756</v>
      </c>
      <c r="D30" s="329"/>
      <c r="E30" s="329"/>
      <c r="F30" s="329"/>
      <c r="G30" s="329"/>
      <c r="H30" s="329"/>
      <c r="I30" s="329"/>
      <c r="J30" s="329"/>
      <c r="K30" s="329"/>
      <c r="L30" s="329"/>
      <c r="M30" s="330"/>
      <c r="N30" s="81">
        <v>540255</v>
      </c>
      <c r="O30" s="81">
        <v>540255</v>
      </c>
      <c r="P30" s="122">
        <v>1040255</v>
      </c>
      <c r="Q30" s="122"/>
      <c r="R30" s="122">
        <v>200000</v>
      </c>
    </row>
    <row r="31" spans="1:18" x14ac:dyDescent="0.25">
      <c r="B31" s="80">
        <f t="shared" si="10"/>
        <v>6</v>
      </c>
      <c r="C31" s="328" t="s">
        <v>765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30"/>
      <c r="N31" s="81">
        <v>0</v>
      </c>
      <c r="O31" s="81">
        <v>0</v>
      </c>
      <c r="P31" s="122"/>
      <c r="Q31" s="122">
        <v>1446</v>
      </c>
      <c r="R31" s="122">
        <v>2210</v>
      </c>
    </row>
    <row r="32" spans="1:18" x14ac:dyDescent="0.25">
      <c r="B32" s="80">
        <f t="shared" si="10"/>
        <v>7</v>
      </c>
      <c r="C32" s="328" t="s">
        <v>759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81">
        <v>0</v>
      </c>
      <c r="O32" s="81">
        <v>0</v>
      </c>
      <c r="P32" s="122">
        <v>265434</v>
      </c>
      <c r="Q32" s="122"/>
      <c r="R32" s="122"/>
    </row>
    <row r="33" spans="2:18" x14ac:dyDescent="0.25">
      <c r="B33" s="80">
        <f t="shared" si="10"/>
        <v>8</v>
      </c>
      <c r="C33" s="328" t="s">
        <v>758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30"/>
      <c r="N33" s="81">
        <v>3120000</v>
      </c>
      <c r="O33" s="81">
        <v>1500000</v>
      </c>
      <c r="P33" s="122">
        <v>1000000</v>
      </c>
      <c r="Q33" s="122">
        <v>4201469</v>
      </c>
      <c r="R33" s="122">
        <v>2372450</v>
      </c>
    </row>
    <row r="34" spans="2:18" x14ac:dyDescent="0.25">
      <c r="B34" s="80">
        <f t="shared" si="10"/>
        <v>9</v>
      </c>
      <c r="C34" s="82" t="s">
        <v>767</v>
      </c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1">
        <v>2355000</v>
      </c>
      <c r="O34" s="81"/>
      <c r="P34" s="122"/>
      <c r="Q34" s="122"/>
      <c r="R34" s="122"/>
    </row>
    <row r="35" spans="2:18" ht="15.75" x14ac:dyDescent="0.25">
      <c r="B35" s="80">
        <f t="shared" si="10"/>
        <v>10</v>
      </c>
      <c r="C35" s="340" t="s">
        <v>688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87">
        <f>SUM(N36:N43)</f>
        <v>2884700</v>
      </c>
      <c r="O35" s="79">
        <f>SUM(O36:O43)</f>
        <v>3008175</v>
      </c>
      <c r="P35" s="79">
        <f>SUM(P36:P43)</f>
        <v>3008175</v>
      </c>
      <c r="Q35" s="79">
        <f>SUM(Q36:Q43)</f>
        <v>6785773.1799999997</v>
      </c>
      <c r="R35" s="79">
        <f>SUM(R36:R43)</f>
        <v>1485514.44</v>
      </c>
    </row>
    <row r="36" spans="2:18" x14ac:dyDescent="0.25">
      <c r="B36" s="80">
        <f t="shared" si="10"/>
        <v>11</v>
      </c>
      <c r="C36" s="328" t="s">
        <v>760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5"/>
      <c r="N36" s="81">
        <v>1670000</v>
      </c>
      <c r="O36" s="122">
        <v>1636675</v>
      </c>
      <c r="P36" s="122">
        <v>1636675</v>
      </c>
      <c r="Q36" s="122">
        <v>4301785</v>
      </c>
      <c r="R36" s="122">
        <v>1463506</v>
      </c>
    </row>
    <row r="37" spans="2:18" x14ac:dyDescent="0.25">
      <c r="B37" s="80">
        <f t="shared" si="10"/>
        <v>12</v>
      </c>
      <c r="C37" s="328" t="s">
        <v>761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81">
        <v>925000</v>
      </c>
      <c r="O37" s="122">
        <v>1162800</v>
      </c>
      <c r="P37" s="122">
        <v>1162800</v>
      </c>
      <c r="Q37" s="122">
        <v>1162798.92</v>
      </c>
      <c r="R37" s="122"/>
    </row>
    <row r="38" spans="2:18" x14ac:dyDescent="0.25">
      <c r="B38" s="80">
        <f t="shared" si="10"/>
        <v>13</v>
      </c>
      <c r="C38" s="328" t="s">
        <v>766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5"/>
      <c r="N38" s="81"/>
      <c r="O38" s="122"/>
      <c r="P38" s="122"/>
      <c r="Q38" s="122">
        <v>228815</v>
      </c>
      <c r="R38" s="122"/>
    </row>
    <row r="39" spans="2:18" x14ac:dyDescent="0.25">
      <c r="B39" s="80">
        <f t="shared" si="10"/>
        <v>14</v>
      </c>
      <c r="C39" s="328" t="s">
        <v>762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5"/>
      <c r="N39" s="81">
        <v>58700</v>
      </c>
      <c r="O39" s="122">
        <v>58700</v>
      </c>
      <c r="P39" s="122">
        <v>58700</v>
      </c>
      <c r="Q39" s="122">
        <v>58677.120000000003</v>
      </c>
      <c r="R39" s="122"/>
    </row>
    <row r="40" spans="2:18" x14ac:dyDescent="0.25">
      <c r="B40" s="80">
        <f t="shared" si="10"/>
        <v>15</v>
      </c>
      <c r="C40" s="328" t="s">
        <v>762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5"/>
      <c r="N40" s="81"/>
      <c r="O40" s="122"/>
      <c r="P40" s="122"/>
      <c r="Q40" s="122">
        <v>884113</v>
      </c>
      <c r="R40" s="122"/>
    </row>
    <row r="41" spans="2:18" x14ac:dyDescent="0.25">
      <c r="B41" s="80">
        <f t="shared" si="10"/>
        <v>16</v>
      </c>
      <c r="C41" s="328" t="s">
        <v>762</v>
      </c>
      <c r="D41" s="294"/>
      <c r="E41" s="294"/>
      <c r="F41" s="294"/>
      <c r="G41" s="294"/>
      <c r="H41" s="294"/>
      <c r="I41" s="294"/>
      <c r="J41" s="294"/>
      <c r="K41" s="294"/>
      <c r="L41" s="294"/>
      <c r="M41" s="295"/>
      <c r="N41" s="81">
        <v>126000</v>
      </c>
      <c r="O41" s="122">
        <v>126000</v>
      </c>
      <c r="P41" s="122">
        <v>126000</v>
      </c>
      <c r="Q41" s="122">
        <v>125989.08</v>
      </c>
      <c r="R41" s="122"/>
    </row>
    <row r="42" spans="2:18" x14ac:dyDescent="0.25">
      <c r="B42" s="80">
        <f t="shared" si="10"/>
        <v>17</v>
      </c>
      <c r="C42" s="328" t="s">
        <v>803</v>
      </c>
      <c r="D42" s="294"/>
      <c r="E42" s="294"/>
      <c r="F42" s="294"/>
      <c r="G42" s="294"/>
      <c r="H42" s="294"/>
      <c r="I42" s="294"/>
      <c r="J42" s="294"/>
      <c r="K42" s="294"/>
      <c r="L42" s="294"/>
      <c r="M42" s="295"/>
      <c r="N42" s="81">
        <v>25000</v>
      </c>
      <c r="O42" s="122"/>
      <c r="P42" s="122"/>
      <c r="Q42" s="122"/>
      <c r="R42" s="122"/>
    </row>
    <row r="43" spans="2:18" ht="15.75" thickBot="1" x14ac:dyDescent="0.3">
      <c r="B43" s="80">
        <f t="shared" si="10"/>
        <v>18</v>
      </c>
      <c r="C43" s="328" t="s">
        <v>763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5"/>
      <c r="N43" s="81">
        <v>80000</v>
      </c>
      <c r="O43" s="122">
        <v>24000</v>
      </c>
      <c r="P43" s="122">
        <v>24000</v>
      </c>
      <c r="Q43" s="122">
        <v>23595.06</v>
      </c>
      <c r="R43" s="122">
        <v>22008.44</v>
      </c>
    </row>
    <row r="44" spans="2:18" ht="16.5" thickTop="1" x14ac:dyDescent="0.25">
      <c r="B44" s="80">
        <f t="shared" si="10"/>
        <v>19</v>
      </c>
      <c r="C44" s="334" t="s">
        <v>689</v>
      </c>
      <c r="D44" s="335"/>
      <c r="E44" s="335"/>
      <c r="F44" s="335"/>
      <c r="G44" s="335"/>
      <c r="H44" s="335"/>
      <c r="I44" s="335"/>
      <c r="J44" s="335"/>
      <c r="K44" s="335"/>
      <c r="L44" s="335"/>
      <c r="M44" s="336"/>
      <c r="N44" s="119">
        <f t="shared" ref="N44:R44" si="11">N23+N26-N35</f>
        <v>0</v>
      </c>
      <c r="O44" s="85">
        <f t="shared" si="11"/>
        <v>0</v>
      </c>
      <c r="P44" s="85">
        <f t="shared" si="11"/>
        <v>0</v>
      </c>
      <c r="Q44" s="85">
        <f t="shared" si="11"/>
        <v>3975651.4899999946</v>
      </c>
      <c r="R44" s="85">
        <f t="shared" si="11"/>
        <v>1586214.2500000051</v>
      </c>
    </row>
    <row r="45" spans="2:18" ht="15.75" x14ac:dyDescent="0.25">
      <c r="B45" s="165"/>
      <c r="C45" s="166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  <c r="O45" s="166"/>
      <c r="P45" s="166"/>
      <c r="Q45" s="166"/>
      <c r="R45" s="166"/>
    </row>
    <row r="46" spans="2:18" ht="24.75" customHeight="1" x14ac:dyDescent="0.25">
      <c r="B46" s="165"/>
      <c r="C46" s="332" t="s">
        <v>911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2:18" ht="24" customHeight="1" x14ac:dyDescent="0.25">
      <c r="B47" s="165"/>
      <c r="C47" s="333" t="s">
        <v>912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</row>
    <row r="48" spans="2:18" ht="15.75" x14ac:dyDescent="0.25">
      <c r="B48" s="165"/>
      <c r="C48" s="170"/>
      <c r="D48" s="170"/>
      <c r="E48" s="170"/>
      <c r="F48" s="170"/>
      <c r="G48" s="170"/>
      <c r="H48" s="167"/>
      <c r="I48" s="167"/>
      <c r="J48" s="167"/>
      <c r="K48" s="167"/>
      <c r="L48" s="167"/>
      <c r="M48" s="167"/>
      <c r="N48" s="168"/>
      <c r="O48" s="166"/>
      <c r="P48" s="166"/>
      <c r="Q48" s="166"/>
      <c r="R48" s="166"/>
    </row>
  </sheetData>
  <mergeCells count="26">
    <mergeCell ref="C46:R46"/>
    <mergeCell ref="C47:R47"/>
    <mergeCell ref="C43:M43"/>
    <mergeCell ref="C44:M44"/>
    <mergeCell ref="B25:R25"/>
    <mergeCell ref="C37:M37"/>
    <mergeCell ref="C38:M38"/>
    <mergeCell ref="C39:M39"/>
    <mergeCell ref="C41:M41"/>
    <mergeCell ref="C42:M42"/>
    <mergeCell ref="C36:M36"/>
    <mergeCell ref="C35:M35"/>
    <mergeCell ref="C33:M33"/>
    <mergeCell ref="C29:M29"/>
    <mergeCell ref="C30:M30"/>
    <mergeCell ref="C40:M40"/>
    <mergeCell ref="C31:M31"/>
    <mergeCell ref="C32:M32"/>
    <mergeCell ref="C26:M26"/>
    <mergeCell ref="C27:M27"/>
    <mergeCell ref="C28:M28"/>
    <mergeCell ref="B2:C5"/>
    <mergeCell ref="D2:R2"/>
    <mergeCell ref="D3:H4"/>
    <mergeCell ref="I3:M4"/>
    <mergeCell ref="N3:R4"/>
  </mergeCells>
  <pageMargins left="0.19685039370078741" right="0.11811023622047245" top="0.55118110236220474" bottom="0.55118110236220474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8"/>
  <sheetViews>
    <sheetView workbookViewId="0"/>
  </sheetViews>
  <sheetFormatPr defaultRowHeight="15" x14ac:dyDescent="0.25"/>
  <cols>
    <col min="1" max="1" width="0.7109375" customWidth="1"/>
    <col min="2" max="2" width="3.42578125" style="115" customWidth="1"/>
    <col min="3" max="3" width="3.85546875" style="40" customWidth="1"/>
    <col min="4" max="4" width="4.28515625" style="40" customWidth="1"/>
    <col min="5" max="5" width="5.7109375" style="40" customWidth="1"/>
    <col min="6" max="6" width="5.28515625" style="40" customWidth="1"/>
    <col min="7" max="7" width="46.5703125" customWidth="1"/>
    <col min="8" max="8" width="13.28515625" style="11" customWidth="1"/>
    <col min="9" max="9" width="0.85546875" style="180" customWidth="1"/>
    <col min="10" max="10" width="13" style="11" customWidth="1"/>
    <col min="11" max="11" width="1.28515625" style="180" customWidth="1"/>
    <col min="12" max="12" width="12.85546875" style="11" customWidth="1"/>
    <col min="242" max="242" width="1.42578125" customWidth="1"/>
    <col min="243" max="243" width="4.5703125" customWidth="1"/>
    <col min="244" max="244" width="5.140625" customWidth="1"/>
    <col min="245" max="245" width="4" customWidth="1"/>
    <col min="246" max="246" width="6.85546875" customWidth="1"/>
    <col min="247" max="247" width="9.7109375" customWidth="1"/>
    <col min="248" max="248" width="45.7109375" customWidth="1"/>
    <col min="249" max="249" width="13" customWidth="1"/>
    <col min="250" max="250" width="11.5703125" customWidth="1"/>
    <col min="251" max="251" width="12.85546875" customWidth="1"/>
    <col min="252" max="252" width="0.42578125" customWidth="1"/>
    <col min="253" max="253" width="1.85546875" customWidth="1"/>
    <col min="254" max="255" width="13.140625" customWidth="1"/>
    <col min="256" max="256" width="13.28515625" customWidth="1"/>
    <col min="257" max="257" width="12.7109375" customWidth="1"/>
    <col min="498" max="498" width="1.42578125" customWidth="1"/>
    <col min="499" max="499" width="4.5703125" customWidth="1"/>
    <col min="500" max="500" width="5.140625" customWidth="1"/>
    <col min="501" max="501" width="4" customWidth="1"/>
    <col min="502" max="502" width="6.85546875" customWidth="1"/>
    <col min="503" max="503" width="9.7109375" customWidth="1"/>
    <col min="504" max="504" width="45.7109375" customWidth="1"/>
    <col min="505" max="505" width="13" customWidth="1"/>
    <col min="506" max="506" width="11.5703125" customWidth="1"/>
    <col min="507" max="507" width="12.85546875" customWidth="1"/>
    <col min="508" max="508" width="0.42578125" customWidth="1"/>
    <col min="509" max="509" width="1.85546875" customWidth="1"/>
    <col min="510" max="511" width="13.140625" customWidth="1"/>
    <col min="512" max="512" width="13.28515625" customWidth="1"/>
    <col min="513" max="513" width="12.7109375" customWidth="1"/>
    <col min="754" max="754" width="1.42578125" customWidth="1"/>
    <col min="755" max="755" width="4.5703125" customWidth="1"/>
    <col min="756" max="756" width="5.140625" customWidth="1"/>
    <col min="757" max="757" width="4" customWidth="1"/>
    <col min="758" max="758" width="6.85546875" customWidth="1"/>
    <col min="759" max="759" width="9.7109375" customWidth="1"/>
    <col min="760" max="760" width="45.7109375" customWidth="1"/>
    <col min="761" max="761" width="13" customWidth="1"/>
    <col min="762" max="762" width="11.5703125" customWidth="1"/>
    <col min="763" max="763" width="12.85546875" customWidth="1"/>
    <col min="764" max="764" width="0.42578125" customWidth="1"/>
    <col min="765" max="765" width="1.85546875" customWidth="1"/>
    <col min="766" max="767" width="13.140625" customWidth="1"/>
    <col min="768" max="768" width="13.28515625" customWidth="1"/>
    <col min="769" max="769" width="12.7109375" customWidth="1"/>
    <col min="1010" max="1010" width="1.42578125" customWidth="1"/>
    <col min="1011" max="1011" width="4.5703125" customWidth="1"/>
    <col min="1012" max="1012" width="5.140625" customWidth="1"/>
    <col min="1013" max="1013" width="4" customWidth="1"/>
    <col min="1014" max="1014" width="6.85546875" customWidth="1"/>
    <col min="1015" max="1015" width="9.7109375" customWidth="1"/>
    <col min="1016" max="1016" width="45.7109375" customWidth="1"/>
    <col min="1017" max="1017" width="13" customWidth="1"/>
    <col min="1018" max="1018" width="11.5703125" customWidth="1"/>
    <col min="1019" max="1019" width="12.85546875" customWidth="1"/>
    <col min="1020" max="1020" width="0.42578125" customWidth="1"/>
    <col min="1021" max="1021" width="1.85546875" customWidth="1"/>
    <col min="1022" max="1023" width="13.140625" customWidth="1"/>
    <col min="1024" max="1024" width="13.28515625" customWidth="1"/>
    <col min="1025" max="1025" width="12.7109375" customWidth="1"/>
    <col min="1266" max="1266" width="1.42578125" customWidth="1"/>
    <col min="1267" max="1267" width="4.5703125" customWidth="1"/>
    <col min="1268" max="1268" width="5.140625" customWidth="1"/>
    <col min="1269" max="1269" width="4" customWidth="1"/>
    <col min="1270" max="1270" width="6.85546875" customWidth="1"/>
    <col min="1271" max="1271" width="9.7109375" customWidth="1"/>
    <col min="1272" max="1272" width="45.7109375" customWidth="1"/>
    <col min="1273" max="1273" width="13" customWidth="1"/>
    <col min="1274" max="1274" width="11.5703125" customWidth="1"/>
    <col min="1275" max="1275" width="12.85546875" customWidth="1"/>
    <col min="1276" max="1276" width="0.42578125" customWidth="1"/>
    <col min="1277" max="1277" width="1.85546875" customWidth="1"/>
    <col min="1278" max="1279" width="13.140625" customWidth="1"/>
    <col min="1280" max="1280" width="13.28515625" customWidth="1"/>
    <col min="1281" max="1281" width="12.7109375" customWidth="1"/>
    <col min="1522" max="1522" width="1.42578125" customWidth="1"/>
    <col min="1523" max="1523" width="4.5703125" customWidth="1"/>
    <col min="1524" max="1524" width="5.140625" customWidth="1"/>
    <col min="1525" max="1525" width="4" customWidth="1"/>
    <col min="1526" max="1526" width="6.85546875" customWidth="1"/>
    <col min="1527" max="1527" width="9.7109375" customWidth="1"/>
    <col min="1528" max="1528" width="45.7109375" customWidth="1"/>
    <col min="1529" max="1529" width="13" customWidth="1"/>
    <col min="1530" max="1530" width="11.5703125" customWidth="1"/>
    <col min="1531" max="1531" width="12.85546875" customWidth="1"/>
    <col min="1532" max="1532" width="0.42578125" customWidth="1"/>
    <col min="1533" max="1533" width="1.85546875" customWidth="1"/>
    <col min="1534" max="1535" width="13.140625" customWidth="1"/>
    <col min="1536" max="1536" width="13.28515625" customWidth="1"/>
    <col min="1537" max="1537" width="12.7109375" customWidth="1"/>
    <col min="1778" max="1778" width="1.42578125" customWidth="1"/>
    <col min="1779" max="1779" width="4.5703125" customWidth="1"/>
    <col min="1780" max="1780" width="5.140625" customWidth="1"/>
    <col min="1781" max="1781" width="4" customWidth="1"/>
    <col min="1782" max="1782" width="6.85546875" customWidth="1"/>
    <col min="1783" max="1783" width="9.7109375" customWidth="1"/>
    <col min="1784" max="1784" width="45.7109375" customWidth="1"/>
    <col min="1785" max="1785" width="13" customWidth="1"/>
    <col min="1786" max="1786" width="11.5703125" customWidth="1"/>
    <col min="1787" max="1787" width="12.85546875" customWidth="1"/>
    <col min="1788" max="1788" width="0.42578125" customWidth="1"/>
    <col min="1789" max="1789" width="1.85546875" customWidth="1"/>
    <col min="1790" max="1791" width="13.140625" customWidth="1"/>
    <col min="1792" max="1792" width="13.28515625" customWidth="1"/>
    <col min="1793" max="1793" width="12.7109375" customWidth="1"/>
    <col min="2034" max="2034" width="1.42578125" customWidth="1"/>
    <col min="2035" max="2035" width="4.5703125" customWidth="1"/>
    <col min="2036" max="2036" width="5.140625" customWidth="1"/>
    <col min="2037" max="2037" width="4" customWidth="1"/>
    <col min="2038" max="2038" width="6.85546875" customWidth="1"/>
    <col min="2039" max="2039" width="9.7109375" customWidth="1"/>
    <col min="2040" max="2040" width="45.7109375" customWidth="1"/>
    <col min="2041" max="2041" width="13" customWidth="1"/>
    <col min="2042" max="2042" width="11.5703125" customWidth="1"/>
    <col min="2043" max="2043" width="12.85546875" customWidth="1"/>
    <col min="2044" max="2044" width="0.42578125" customWidth="1"/>
    <col min="2045" max="2045" width="1.85546875" customWidth="1"/>
    <col min="2046" max="2047" width="13.140625" customWidth="1"/>
    <col min="2048" max="2048" width="13.28515625" customWidth="1"/>
    <col min="2049" max="2049" width="12.7109375" customWidth="1"/>
    <col min="2290" max="2290" width="1.42578125" customWidth="1"/>
    <col min="2291" max="2291" width="4.5703125" customWidth="1"/>
    <col min="2292" max="2292" width="5.140625" customWidth="1"/>
    <col min="2293" max="2293" width="4" customWidth="1"/>
    <col min="2294" max="2294" width="6.85546875" customWidth="1"/>
    <col min="2295" max="2295" width="9.7109375" customWidth="1"/>
    <col min="2296" max="2296" width="45.7109375" customWidth="1"/>
    <col min="2297" max="2297" width="13" customWidth="1"/>
    <col min="2298" max="2298" width="11.5703125" customWidth="1"/>
    <col min="2299" max="2299" width="12.85546875" customWidth="1"/>
    <col min="2300" max="2300" width="0.42578125" customWidth="1"/>
    <col min="2301" max="2301" width="1.85546875" customWidth="1"/>
    <col min="2302" max="2303" width="13.140625" customWidth="1"/>
    <col min="2304" max="2304" width="13.28515625" customWidth="1"/>
    <col min="2305" max="2305" width="12.7109375" customWidth="1"/>
    <col min="2546" max="2546" width="1.42578125" customWidth="1"/>
    <col min="2547" max="2547" width="4.5703125" customWidth="1"/>
    <col min="2548" max="2548" width="5.140625" customWidth="1"/>
    <col min="2549" max="2549" width="4" customWidth="1"/>
    <col min="2550" max="2550" width="6.85546875" customWidth="1"/>
    <col min="2551" max="2551" width="9.7109375" customWidth="1"/>
    <col min="2552" max="2552" width="45.7109375" customWidth="1"/>
    <col min="2553" max="2553" width="13" customWidth="1"/>
    <col min="2554" max="2554" width="11.5703125" customWidth="1"/>
    <col min="2555" max="2555" width="12.85546875" customWidth="1"/>
    <col min="2556" max="2556" width="0.42578125" customWidth="1"/>
    <col min="2557" max="2557" width="1.85546875" customWidth="1"/>
    <col min="2558" max="2559" width="13.140625" customWidth="1"/>
    <col min="2560" max="2560" width="13.28515625" customWidth="1"/>
    <col min="2561" max="2561" width="12.7109375" customWidth="1"/>
    <col min="2802" max="2802" width="1.42578125" customWidth="1"/>
    <col min="2803" max="2803" width="4.5703125" customWidth="1"/>
    <col min="2804" max="2804" width="5.140625" customWidth="1"/>
    <col min="2805" max="2805" width="4" customWidth="1"/>
    <col min="2806" max="2806" width="6.85546875" customWidth="1"/>
    <col min="2807" max="2807" width="9.7109375" customWidth="1"/>
    <col min="2808" max="2808" width="45.7109375" customWidth="1"/>
    <col min="2809" max="2809" width="13" customWidth="1"/>
    <col min="2810" max="2810" width="11.5703125" customWidth="1"/>
    <col min="2811" max="2811" width="12.85546875" customWidth="1"/>
    <col min="2812" max="2812" width="0.42578125" customWidth="1"/>
    <col min="2813" max="2813" width="1.85546875" customWidth="1"/>
    <col min="2814" max="2815" width="13.140625" customWidth="1"/>
    <col min="2816" max="2816" width="13.28515625" customWidth="1"/>
    <col min="2817" max="2817" width="12.7109375" customWidth="1"/>
    <col min="3058" max="3058" width="1.42578125" customWidth="1"/>
    <col min="3059" max="3059" width="4.5703125" customWidth="1"/>
    <col min="3060" max="3060" width="5.140625" customWidth="1"/>
    <col min="3061" max="3061" width="4" customWidth="1"/>
    <col min="3062" max="3062" width="6.85546875" customWidth="1"/>
    <col min="3063" max="3063" width="9.7109375" customWidth="1"/>
    <col min="3064" max="3064" width="45.7109375" customWidth="1"/>
    <col min="3065" max="3065" width="13" customWidth="1"/>
    <col min="3066" max="3066" width="11.5703125" customWidth="1"/>
    <col min="3067" max="3067" width="12.85546875" customWidth="1"/>
    <col min="3068" max="3068" width="0.42578125" customWidth="1"/>
    <col min="3069" max="3069" width="1.85546875" customWidth="1"/>
    <col min="3070" max="3071" width="13.140625" customWidth="1"/>
    <col min="3072" max="3072" width="13.28515625" customWidth="1"/>
    <col min="3073" max="3073" width="12.7109375" customWidth="1"/>
    <col min="3314" max="3314" width="1.42578125" customWidth="1"/>
    <col min="3315" max="3315" width="4.5703125" customWidth="1"/>
    <col min="3316" max="3316" width="5.140625" customWidth="1"/>
    <col min="3317" max="3317" width="4" customWidth="1"/>
    <col min="3318" max="3318" width="6.85546875" customWidth="1"/>
    <col min="3319" max="3319" width="9.7109375" customWidth="1"/>
    <col min="3320" max="3320" width="45.7109375" customWidth="1"/>
    <col min="3321" max="3321" width="13" customWidth="1"/>
    <col min="3322" max="3322" width="11.5703125" customWidth="1"/>
    <col min="3323" max="3323" width="12.85546875" customWidth="1"/>
    <col min="3324" max="3324" width="0.42578125" customWidth="1"/>
    <col min="3325" max="3325" width="1.85546875" customWidth="1"/>
    <col min="3326" max="3327" width="13.140625" customWidth="1"/>
    <col min="3328" max="3328" width="13.28515625" customWidth="1"/>
    <col min="3329" max="3329" width="12.7109375" customWidth="1"/>
    <col min="3570" max="3570" width="1.42578125" customWidth="1"/>
    <col min="3571" max="3571" width="4.5703125" customWidth="1"/>
    <col min="3572" max="3572" width="5.140625" customWidth="1"/>
    <col min="3573" max="3573" width="4" customWidth="1"/>
    <col min="3574" max="3574" width="6.85546875" customWidth="1"/>
    <col min="3575" max="3575" width="9.7109375" customWidth="1"/>
    <col min="3576" max="3576" width="45.7109375" customWidth="1"/>
    <col min="3577" max="3577" width="13" customWidth="1"/>
    <col min="3578" max="3578" width="11.5703125" customWidth="1"/>
    <col min="3579" max="3579" width="12.85546875" customWidth="1"/>
    <col min="3580" max="3580" width="0.42578125" customWidth="1"/>
    <col min="3581" max="3581" width="1.85546875" customWidth="1"/>
    <col min="3582" max="3583" width="13.140625" customWidth="1"/>
    <col min="3584" max="3584" width="13.28515625" customWidth="1"/>
    <col min="3585" max="3585" width="12.7109375" customWidth="1"/>
    <col min="3826" max="3826" width="1.42578125" customWidth="1"/>
    <col min="3827" max="3827" width="4.5703125" customWidth="1"/>
    <col min="3828" max="3828" width="5.140625" customWidth="1"/>
    <col min="3829" max="3829" width="4" customWidth="1"/>
    <col min="3830" max="3830" width="6.85546875" customWidth="1"/>
    <col min="3831" max="3831" width="9.7109375" customWidth="1"/>
    <col min="3832" max="3832" width="45.7109375" customWidth="1"/>
    <col min="3833" max="3833" width="13" customWidth="1"/>
    <col min="3834" max="3834" width="11.5703125" customWidth="1"/>
    <col min="3835" max="3835" width="12.85546875" customWidth="1"/>
    <col min="3836" max="3836" width="0.42578125" customWidth="1"/>
    <col min="3837" max="3837" width="1.85546875" customWidth="1"/>
    <col min="3838" max="3839" width="13.140625" customWidth="1"/>
    <col min="3840" max="3840" width="13.28515625" customWidth="1"/>
    <col min="3841" max="3841" width="12.7109375" customWidth="1"/>
    <col min="4082" max="4082" width="1.42578125" customWidth="1"/>
    <col min="4083" max="4083" width="4.5703125" customWidth="1"/>
    <col min="4084" max="4084" width="5.140625" customWidth="1"/>
    <col min="4085" max="4085" width="4" customWidth="1"/>
    <col min="4086" max="4086" width="6.85546875" customWidth="1"/>
    <col min="4087" max="4087" width="9.7109375" customWidth="1"/>
    <col min="4088" max="4088" width="45.7109375" customWidth="1"/>
    <col min="4089" max="4089" width="13" customWidth="1"/>
    <col min="4090" max="4090" width="11.5703125" customWidth="1"/>
    <col min="4091" max="4091" width="12.85546875" customWidth="1"/>
    <col min="4092" max="4092" width="0.42578125" customWidth="1"/>
    <col min="4093" max="4093" width="1.85546875" customWidth="1"/>
    <col min="4094" max="4095" width="13.140625" customWidth="1"/>
    <col min="4096" max="4096" width="13.28515625" customWidth="1"/>
    <col min="4097" max="4097" width="12.7109375" customWidth="1"/>
    <col min="4338" max="4338" width="1.42578125" customWidth="1"/>
    <col min="4339" max="4339" width="4.5703125" customWidth="1"/>
    <col min="4340" max="4340" width="5.140625" customWidth="1"/>
    <col min="4341" max="4341" width="4" customWidth="1"/>
    <col min="4342" max="4342" width="6.85546875" customWidth="1"/>
    <col min="4343" max="4343" width="9.7109375" customWidth="1"/>
    <col min="4344" max="4344" width="45.7109375" customWidth="1"/>
    <col min="4345" max="4345" width="13" customWidth="1"/>
    <col min="4346" max="4346" width="11.5703125" customWidth="1"/>
    <col min="4347" max="4347" width="12.85546875" customWidth="1"/>
    <col min="4348" max="4348" width="0.42578125" customWidth="1"/>
    <col min="4349" max="4349" width="1.85546875" customWidth="1"/>
    <col min="4350" max="4351" width="13.140625" customWidth="1"/>
    <col min="4352" max="4352" width="13.28515625" customWidth="1"/>
    <col min="4353" max="4353" width="12.7109375" customWidth="1"/>
    <col min="4594" max="4594" width="1.42578125" customWidth="1"/>
    <col min="4595" max="4595" width="4.5703125" customWidth="1"/>
    <col min="4596" max="4596" width="5.140625" customWidth="1"/>
    <col min="4597" max="4597" width="4" customWidth="1"/>
    <col min="4598" max="4598" width="6.85546875" customWidth="1"/>
    <col min="4599" max="4599" width="9.7109375" customWidth="1"/>
    <col min="4600" max="4600" width="45.7109375" customWidth="1"/>
    <col min="4601" max="4601" width="13" customWidth="1"/>
    <col min="4602" max="4602" width="11.5703125" customWidth="1"/>
    <col min="4603" max="4603" width="12.85546875" customWidth="1"/>
    <col min="4604" max="4604" width="0.42578125" customWidth="1"/>
    <col min="4605" max="4605" width="1.85546875" customWidth="1"/>
    <col min="4606" max="4607" width="13.140625" customWidth="1"/>
    <col min="4608" max="4608" width="13.28515625" customWidth="1"/>
    <col min="4609" max="4609" width="12.7109375" customWidth="1"/>
    <col min="4850" max="4850" width="1.42578125" customWidth="1"/>
    <col min="4851" max="4851" width="4.5703125" customWidth="1"/>
    <col min="4852" max="4852" width="5.140625" customWidth="1"/>
    <col min="4853" max="4853" width="4" customWidth="1"/>
    <col min="4854" max="4854" width="6.85546875" customWidth="1"/>
    <col min="4855" max="4855" width="9.7109375" customWidth="1"/>
    <col min="4856" max="4856" width="45.7109375" customWidth="1"/>
    <col min="4857" max="4857" width="13" customWidth="1"/>
    <col min="4858" max="4858" width="11.5703125" customWidth="1"/>
    <col min="4859" max="4859" width="12.85546875" customWidth="1"/>
    <col min="4860" max="4860" width="0.42578125" customWidth="1"/>
    <col min="4861" max="4861" width="1.85546875" customWidth="1"/>
    <col min="4862" max="4863" width="13.140625" customWidth="1"/>
    <col min="4864" max="4864" width="13.28515625" customWidth="1"/>
    <col min="4865" max="4865" width="12.7109375" customWidth="1"/>
    <col min="5106" max="5106" width="1.42578125" customWidth="1"/>
    <col min="5107" max="5107" width="4.5703125" customWidth="1"/>
    <col min="5108" max="5108" width="5.140625" customWidth="1"/>
    <col min="5109" max="5109" width="4" customWidth="1"/>
    <col min="5110" max="5110" width="6.85546875" customWidth="1"/>
    <col min="5111" max="5111" width="9.7109375" customWidth="1"/>
    <col min="5112" max="5112" width="45.7109375" customWidth="1"/>
    <col min="5113" max="5113" width="13" customWidth="1"/>
    <col min="5114" max="5114" width="11.5703125" customWidth="1"/>
    <col min="5115" max="5115" width="12.85546875" customWidth="1"/>
    <col min="5116" max="5116" width="0.42578125" customWidth="1"/>
    <col min="5117" max="5117" width="1.85546875" customWidth="1"/>
    <col min="5118" max="5119" width="13.140625" customWidth="1"/>
    <col min="5120" max="5120" width="13.28515625" customWidth="1"/>
    <col min="5121" max="5121" width="12.7109375" customWidth="1"/>
    <col min="5362" max="5362" width="1.42578125" customWidth="1"/>
    <col min="5363" max="5363" width="4.5703125" customWidth="1"/>
    <col min="5364" max="5364" width="5.140625" customWidth="1"/>
    <col min="5365" max="5365" width="4" customWidth="1"/>
    <col min="5366" max="5366" width="6.85546875" customWidth="1"/>
    <col min="5367" max="5367" width="9.7109375" customWidth="1"/>
    <col min="5368" max="5368" width="45.7109375" customWidth="1"/>
    <col min="5369" max="5369" width="13" customWidth="1"/>
    <col min="5370" max="5370" width="11.5703125" customWidth="1"/>
    <col min="5371" max="5371" width="12.85546875" customWidth="1"/>
    <col min="5372" max="5372" width="0.42578125" customWidth="1"/>
    <col min="5373" max="5373" width="1.85546875" customWidth="1"/>
    <col min="5374" max="5375" width="13.140625" customWidth="1"/>
    <col min="5376" max="5376" width="13.28515625" customWidth="1"/>
    <col min="5377" max="5377" width="12.7109375" customWidth="1"/>
    <col min="5618" max="5618" width="1.42578125" customWidth="1"/>
    <col min="5619" max="5619" width="4.5703125" customWidth="1"/>
    <col min="5620" max="5620" width="5.140625" customWidth="1"/>
    <col min="5621" max="5621" width="4" customWidth="1"/>
    <col min="5622" max="5622" width="6.85546875" customWidth="1"/>
    <col min="5623" max="5623" width="9.7109375" customWidth="1"/>
    <col min="5624" max="5624" width="45.7109375" customWidth="1"/>
    <col min="5625" max="5625" width="13" customWidth="1"/>
    <col min="5626" max="5626" width="11.5703125" customWidth="1"/>
    <col min="5627" max="5627" width="12.85546875" customWidth="1"/>
    <col min="5628" max="5628" width="0.42578125" customWidth="1"/>
    <col min="5629" max="5629" width="1.85546875" customWidth="1"/>
    <col min="5630" max="5631" width="13.140625" customWidth="1"/>
    <col min="5632" max="5632" width="13.28515625" customWidth="1"/>
    <col min="5633" max="5633" width="12.7109375" customWidth="1"/>
    <col min="5874" max="5874" width="1.42578125" customWidth="1"/>
    <col min="5875" max="5875" width="4.5703125" customWidth="1"/>
    <col min="5876" max="5876" width="5.140625" customWidth="1"/>
    <col min="5877" max="5877" width="4" customWidth="1"/>
    <col min="5878" max="5878" width="6.85546875" customWidth="1"/>
    <col min="5879" max="5879" width="9.7109375" customWidth="1"/>
    <col min="5880" max="5880" width="45.7109375" customWidth="1"/>
    <col min="5881" max="5881" width="13" customWidth="1"/>
    <col min="5882" max="5882" width="11.5703125" customWidth="1"/>
    <col min="5883" max="5883" width="12.85546875" customWidth="1"/>
    <col min="5884" max="5884" width="0.42578125" customWidth="1"/>
    <col min="5885" max="5885" width="1.85546875" customWidth="1"/>
    <col min="5886" max="5887" width="13.140625" customWidth="1"/>
    <col min="5888" max="5888" width="13.28515625" customWidth="1"/>
    <col min="5889" max="5889" width="12.7109375" customWidth="1"/>
    <col min="6130" max="6130" width="1.42578125" customWidth="1"/>
    <col min="6131" max="6131" width="4.5703125" customWidth="1"/>
    <col min="6132" max="6132" width="5.140625" customWidth="1"/>
    <col min="6133" max="6133" width="4" customWidth="1"/>
    <col min="6134" max="6134" width="6.85546875" customWidth="1"/>
    <col min="6135" max="6135" width="9.7109375" customWidth="1"/>
    <col min="6136" max="6136" width="45.7109375" customWidth="1"/>
    <col min="6137" max="6137" width="13" customWidth="1"/>
    <col min="6138" max="6138" width="11.5703125" customWidth="1"/>
    <col min="6139" max="6139" width="12.85546875" customWidth="1"/>
    <col min="6140" max="6140" width="0.42578125" customWidth="1"/>
    <col min="6141" max="6141" width="1.85546875" customWidth="1"/>
    <col min="6142" max="6143" width="13.140625" customWidth="1"/>
    <col min="6144" max="6144" width="13.28515625" customWidth="1"/>
    <col min="6145" max="6145" width="12.7109375" customWidth="1"/>
    <col min="6386" max="6386" width="1.42578125" customWidth="1"/>
    <col min="6387" max="6387" width="4.5703125" customWidth="1"/>
    <col min="6388" max="6388" width="5.140625" customWidth="1"/>
    <col min="6389" max="6389" width="4" customWidth="1"/>
    <col min="6390" max="6390" width="6.85546875" customWidth="1"/>
    <col min="6391" max="6391" width="9.7109375" customWidth="1"/>
    <col min="6392" max="6392" width="45.7109375" customWidth="1"/>
    <col min="6393" max="6393" width="13" customWidth="1"/>
    <col min="6394" max="6394" width="11.5703125" customWidth="1"/>
    <col min="6395" max="6395" width="12.85546875" customWidth="1"/>
    <col min="6396" max="6396" width="0.42578125" customWidth="1"/>
    <col min="6397" max="6397" width="1.85546875" customWidth="1"/>
    <col min="6398" max="6399" width="13.140625" customWidth="1"/>
    <col min="6400" max="6400" width="13.28515625" customWidth="1"/>
    <col min="6401" max="6401" width="12.7109375" customWidth="1"/>
    <col min="6642" max="6642" width="1.42578125" customWidth="1"/>
    <col min="6643" max="6643" width="4.5703125" customWidth="1"/>
    <col min="6644" max="6644" width="5.140625" customWidth="1"/>
    <col min="6645" max="6645" width="4" customWidth="1"/>
    <col min="6646" max="6646" width="6.85546875" customWidth="1"/>
    <col min="6647" max="6647" width="9.7109375" customWidth="1"/>
    <col min="6648" max="6648" width="45.7109375" customWidth="1"/>
    <col min="6649" max="6649" width="13" customWidth="1"/>
    <col min="6650" max="6650" width="11.5703125" customWidth="1"/>
    <col min="6651" max="6651" width="12.85546875" customWidth="1"/>
    <col min="6652" max="6652" width="0.42578125" customWidth="1"/>
    <col min="6653" max="6653" width="1.85546875" customWidth="1"/>
    <col min="6654" max="6655" width="13.140625" customWidth="1"/>
    <col min="6656" max="6656" width="13.28515625" customWidth="1"/>
    <col min="6657" max="6657" width="12.7109375" customWidth="1"/>
    <col min="6898" max="6898" width="1.42578125" customWidth="1"/>
    <col min="6899" max="6899" width="4.5703125" customWidth="1"/>
    <col min="6900" max="6900" width="5.140625" customWidth="1"/>
    <col min="6901" max="6901" width="4" customWidth="1"/>
    <col min="6902" max="6902" width="6.85546875" customWidth="1"/>
    <col min="6903" max="6903" width="9.7109375" customWidth="1"/>
    <col min="6904" max="6904" width="45.7109375" customWidth="1"/>
    <col min="6905" max="6905" width="13" customWidth="1"/>
    <col min="6906" max="6906" width="11.5703125" customWidth="1"/>
    <col min="6907" max="6907" width="12.85546875" customWidth="1"/>
    <col min="6908" max="6908" width="0.42578125" customWidth="1"/>
    <col min="6909" max="6909" width="1.85546875" customWidth="1"/>
    <col min="6910" max="6911" width="13.140625" customWidth="1"/>
    <col min="6912" max="6912" width="13.28515625" customWidth="1"/>
    <col min="6913" max="6913" width="12.7109375" customWidth="1"/>
    <col min="7154" max="7154" width="1.42578125" customWidth="1"/>
    <col min="7155" max="7155" width="4.5703125" customWidth="1"/>
    <col min="7156" max="7156" width="5.140625" customWidth="1"/>
    <col min="7157" max="7157" width="4" customWidth="1"/>
    <col min="7158" max="7158" width="6.85546875" customWidth="1"/>
    <col min="7159" max="7159" width="9.7109375" customWidth="1"/>
    <col min="7160" max="7160" width="45.7109375" customWidth="1"/>
    <col min="7161" max="7161" width="13" customWidth="1"/>
    <col min="7162" max="7162" width="11.5703125" customWidth="1"/>
    <col min="7163" max="7163" width="12.85546875" customWidth="1"/>
    <col min="7164" max="7164" width="0.42578125" customWidth="1"/>
    <col min="7165" max="7165" width="1.85546875" customWidth="1"/>
    <col min="7166" max="7167" width="13.140625" customWidth="1"/>
    <col min="7168" max="7168" width="13.28515625" customWidth="1"/>
    <col min="7169" max="7169" width="12.7109375" customWidth="1"/>
    <col min="7410" max="7410" width="1.42578125" customWidth="1"/>
    <col min="7411" max="7411" width="4.5703125" customWidth="1"/>
    <col min="7412" max="7412" width="5.140625" customWidth="1"/>
    <col min="7413" max="7413" width="4" customWidth="1"/>
    <col min="7414" max="7414" width="6.85546875" customWidth="1"/>
    <col min="7415" max="7415" width="9.7109375" customWidth="1"/>
    <col min="7416" max="7416" width="45.7109375" customWidth="1"/>
    <col min="7417" max="7417" width="13" customWidth="1"/>
    <col min="7418" max="7418" width="11.5703125" customWidth="1"/>
    <col min="7419" max="7419" width="12.85546875" customWidth="1"/>
    <col min="7420" max="7420" width="0.42578125" customWidth="1"/>
    <col min="7421" max="7421" width="1.85546875" customWidth="1"/>
    <col min="7422" max="7423" width="13.140625" customWidth="1"/>
    <col min="7424" max="7424" width="13.28515625" customWidth="1"/>
    <col min="7425" max="7425" width="12.7109375" customWidth="1"/>
    <col min="7666" max="7666" width="1.42578125" customWidth="1"/>
    <col min="7667" max="7667" width="4.5703125" customWidth="1"/>
    <col min="7668" max="7668" width="5.140625" customWidth="1"/>
    <col min="7669" max="7669" width="4" customWidth="1"/>
    <col min="7670" max="7670" width="6.85546875" customWidth="1"/>
    <col min="7671" max="7671" width="9.7109375" customWidth="1"/>
    <col min="7672" max="7672" width="45.7109375" customWidth="1"/>
    <col min="7673" max="7673" width="13" customWidth="1"/>
    <col min="7674" max="7674" width="11.5703125" customWidth="1"/>
    <col min="7675" max="7675" width="12.85546875" customWidth="1"/>
    <col min="7676" max="7676" width="0.42578125" customWidth="1"/>
    <col min="7677" max="7677" width="1.85546875" customWidth="1"/>
    <col min="7678" max="7679" width="13.140625" customWidth="1"/>
    <col min="7680" max="7680" width="13.28515625" customWidth="1"/>
    <col min="7681" max="7681" width="12.7109375" customWidth="1"/>
    <col min="7922" max="7922" width="1.42578125" customWidth="1"/>
    <col min="7923" max="7923" width="4.5703125" customWidth="1"/>
    <col min="7924" max="7924" width="5.140625" customWidth="1"/>
    <col min="7925" max="7925" width="4" customWidth="1"/>
    <col min="7926" max="7926" width="6.85546875" customWidth="1"/>
    <col min="7927" max="7927" width="9.7109375" customWidth="1"/>
    <col min="7928" max="7928" width="45.7109375" customWidth="1"/>
    <col min="7929" max="7929" width="13" customWidth="1"/>
    <col min="7930" max="7930" width="11.5703125" customWidth="1"/>
    <col min="7931" max="7931" width="12.85546875" customWidth="1"/>
    <col min="7932" max="7932" width="0.42578125" customWidth="1"/>
    <col min="7933" max="7933" width="1.85546875" customWidth="1"/>
    <col min="7934" max="7935" width="13.140625" customWidth="1"/>
    <col min="7936" max="7936" width="13.28515625" customWidth="1"/>
    <col min="7937" max="7937" width="12.7109375" customWidth="1"/>
    <col min="8178" max="8178" width="1.42578125" customWidth="1"/>
    <col min="8179" max="8179" width="4.5703125" customWidth="1"/>
    <col min="8180" max="8180" width="5.140625" customWidth="1"/>
    <col min="8181" max="8181" width="4" customWidth="1"/>
    <col min="8182" max="8182" width="6.85546875" customWidth="1"/>
    <col min="8183" max="8183" width="9.7109375" customWidth="1"/>
    <col min="8184" max="8184" width="45.7109375" customWidth="1"/>
    <col min="8185" max="8185" width="13" customWidth="1"/>
    <col min="8186" max="8186" width="11.5703125" customWidth="1"/>
    <col min="8187" max="8187" width="12.85546875" customWidth="1"/>
    <col min="8188" max="8188" width="0.42578125" customWidth="1"/>
    <col min="8189" max="8189" width="1.85546875" customWidth="1"/>
    <col min="8190" max="8191" width="13.140625" customWidth="1"/>
    <col min="8192" max="8192" width="13.28515625" customWidth="1"/>
    <col min="8193" max="8193" width="12.7109375" customWidth="1"/>
    <col min="8434" max="8434" width="1.42578125" customWidth="1"/>
    <col min="8435" max="8435" width="4.5703125" customWidth="1"/>
    <col min="8436" max="8436" width="5.140625" customWidth="1"/>
    <col min="8437" max="8437" width="4" customWidth="1"/>
    <col min="8438" max="8438" width="6.85546875" customWidth="1"/>
    <col min="8439" max="8439" width="9.7109375" customWidth="1"/>
    <col min="8440" max="8440" width="45.7109375" customWidth="1"/>
    <col min="8441" max="8441" width="13" customWidth="1"/>
    <col min="8442" max="8442" width="11.5703125" customWidth="1"/>
    <col min="8443" max="8443" width="12.85546875" customWidth="1"/>
    <col min="8444" max="8444" width="0.42578125" customWidth="1"/>
    <col min="8445" max="8445" width="1.85546875" customWidth="1"/>
    <col min="8446" max="8447" width="13.140625" customWidth="1"/>
    <col min="8448" max="8448" width="13.28515625" customWidth="1"/>
    <col min="8449" max="8449" width="12.7109375" customWidth="1"/>
    <col min="8690" max="8690" width="1.42578125" customWidth="1"/>
    <col min="8691" max="8691" width="4.5703125" customWidth="1"/>
    <col min="8692" max="8692" width="5.140625" customWidth="1"/>
    <col min="8693" max="8693" width="4" customWidth="1"/>
    <col min="8694" max="8694" width="6.85546875" customWidth="1"/>
    <col min="8695" max="8695" width="9.7109375" customWidth="1"/>
    <col min="8696" max="8696" width="45.7109375" customWidth="1"/>
    <col min="8697" max="8697" width="13" customWidth="1"/>
    <col min="8698" max="8698" width="11.5703125" customWidth="1"/>
    <col min="8699" max="8699" width="12.85546875" customWidth="1"/>
    <col min="8700" max="8700" width="0.42578125" customWidth="1"/>
    <col min="8701" max="8701" width="1.85546875" customWidth="1"/>
    <col min="8702" max="8703" width="13.140625" customWidth="1"/>
    <col min="8704" max="8704" width="13.28515625" customWidth="1"/>
    <col min="8705" max="8705" width="12.7109375" customWidth="1"/>
    <col min="8946" max="8946" width="1.42578125" customWidth="1"/>
    <col min="8947" max="8947" width="4.5703125" customWidth="1"/>
    <col min="8948" max="8948" width="5.140625" customWidth="1"/>
    <col min="8949" max="8949" width="4" customWidth="1"/>
    <col min="8950" max="8950" width="6.85546875" customWidth="1"/>
    <col min="8951" max="8951" width="9.7109375" customWidth="1"/>
    <col min="8952" max="8952" width="45.7109375" customWidth="1"/>
    <col min="8953" max="8953" width="13" customWidth="1"/>
    <col min="8954" max="8954" width="11.5703125" customWidth="1"/>
    <col min="8955" max="8955" width="12.85546875" customWidth="1"/>
    <col min="8956" max="8956" width="0.42578125" customWidth="1"/>
    <col min="8957" max="8957" width="1.85546875" customWidth="1"/>
    <col min="8958" max="8959" width="13.140625" customWidth="1"/>
    <col min="8960" max="8960" width="13.28515625" customWidth="1"/>
    <col min="8961" max="8961" width="12.7109375" customWidth="1"/>
    <col min="9202" max="9202" width="1.42578125" customWidth="1"/>
    <col min="9203" max="9203" width="4.5703125" customWidth="1"/>
    <col min="9204" max="9204" width="5.140625" customWidth="1"/>
    <col min="9205" max="9205" width="4" customWidth="1"/>
    <col min="9206" max="9206" width="6.85546875" customWidth="1"/>
    <col min="9207" max="9207" width="9.7109375" customWidth="1"/>
    <col min="9208" max="9208" width="45.7109375" customWidth="1"/>
    <col min="9209" max="9209" width="13" customWidth="1"/>
    <col min="9210" max="9210" width="11.5703125" customWidth="1"/>
    <col min="9211" max="9211" width="12.85546875" customWidth="1"/>
    <col min="9212" max="9212" width="0.42578125" customWidth="1"/>
    <col min="9213" max="9213" width="1.85546875" customWidth="1"/>
    <col min="9214" max="9215" width="13.140625" customWidth="1"/>
    <col min="9216" max="9216" width="13.28515625" customWidth="1"/>
    <col min="9217" max="9217" width="12.7109375" customWidth="1"/>
    <col min="9458" max="9458" width="1.42578125" customWidth="1"/>
    <col min="9459" max="9459" width="4.5703125" customWidth="1"/>
    <col min="9460" max="9460" width="5.140625" customWidth="1"/>
    <col min="9461" max="9461" width="4" customWidth="1"/>
    <col min="9462" max="9462" width="6.85546875" customWidth="1"/>
    <col min="9463" max="9463" width="9.7109375" customWidth="1"/>
    <col min="9464" max="9464" width="45.7109375" customWidth="1"/>
    <col min="9465" max="9465" width="13" customWidth="1"/>
    <col min="9466" max="9466" width="11.5703125" customWidth="1"/>
    <col min="9467" max="9467" width="12.85546875" customWidth="1"/>
    <col min="9468" max="9468" width="0.42578125" customWidth="1"/>
    <col min="9469" max="9469" width="1.85546875" customWidth="1"/>
    <col min="9470" max="9471" width="13.140625" customWidth="1"/>
    <col min="9472" max="9472" width="13.28515625" customWidth="1"/>
    <col min="9473" max="9473" width="12.7109375" customWidth="1"/>
    <col min="9714" max="9714" width="1.42578125" customWidth="1"/>
    <col min="9715" max="9715" width="4.5703125" customWidth="1"/>
    <col min="9716" max="9716" width="5.140625" customWidth="1"/>
    <col min="9717" max="9717" width="4" customWidth="1"/>
    <col min="9718" max="9718" width="6.85546875" customWidth="1"/>
    <col min="9719" max="9719" width="9.7109375" customWidth="1"/>
    <col min="9720" max="9720" width="45.7109375" customWidth="1"/>
    <col min="9721" max="9721" width="13" customWidth="1"/>
    <col min="9722" max="9722" width="11.5703125" customWidth="1"/>
    <col min="9723" max="9723" width="12.85546875" customWidth="1"/>
    <col min="9724" max="9724" width="0.42578125" customWidth="1"/>
    <col min="9725" max="9725" width="1.85546875" customWidth="1"/>
    <col min="9726" max="9727" width="13.140625" customWidth="1"/>
    <col min="9728" max="9728" width="13.28515625" customWidth="1"/>
    <col min="9729" max="9729" width="12.7109375" customWidth="1"/>
    <col min="9970" max="9970" width="1.42578125" customWidth="1"/>
    <col min="9971" max="9971" width="4.5703125" customWidth="1"/>
    <col min="9972" max="9972" width="5.140625" customWidth="1"/>
    <col min="9973" max="9973" width="4" customWidth="1"/>
    <col min="9974" max="9974" width="6.85546875" customWidth="1"/>
    <col min="9975" max="9975" width="9.7109375" customWidth="1"/>
    <col min="9976" max="9976" width="45.7109375" customWidth="1"/>
    <col min="9977" max="9977" width="13" customWidth="1"/>
    <col min="9978" max="9978" width="11.5703125" customWidth="1"/>
    <col min="9979" max="9979" width="12.85546875" customWidth="1"/>
    <col min="9980" max="9980" width="0.42578125" customWidth="1"/>
    <col min="9981" max="9981" width="1.85546875" customWidth="1"/>
    <col min="9982" max="9983" width="13.140625" customWidth="1"/>
    <col min="9984" max="9984" width="13.28515625" customWidth="1"/>
    <col min="9985" max="9985" width="12.7109375" customWidth="1"/>
    <col min="10226" max="10226" width="1.42578125" customWidth="1"/>
    <col min="10227" max="10227" width="4.5703125" customWidth="1"/>
    <col min="10228" max="10228" width="5.140625" customWidth="1"/>
    <col min="10229" max="10229" width="4" customWidth="1"/>
    <col min="10230" max="10230" width="6.85546875" customWidth="1"/>
    <col min="10231" max="10231" width="9.7109375" customWidth="1"/>
    <col min="10232" max="10232" width="45.7109375" customWidth="1"/>
    <col min="10233" max="10233" width="13" customWidth="1"/>
    <col min="10234" max="10234" width="11.5703125" customWidth="1"/>
    <col min="10235" max="10235" width="12.85546875" customWidth="1"/>
    <col min="10236" max="10236" width="0.42578125" customWidth="1"/>
    <col min="10237" max="10237" width="1.85546875" customWidth="1"/>
    <col min="10238" max="10239" width="13.140625" customWidth="1"/>
    <col min="10240" max="10240" width="13.28515625" customWidth="1"/>
    <col min="10241" max="10241" width="12.7109375" customWidth="1"/>
    <col min="10482" max="10482" width="1.42578125" customWidth="1"/>
    <col min="10483" max="10483" width="4.5703125" customWidth="1"/>
    <col min="10484" max="10484" width="5.140625" customWidth="1"/>
    <col min="10485" max="10485" width="4" customWidth="1"/>
    <col min="10486" max="10486" width="6.85546875" customWidth="1"/>
    <col min="10487" max="10487" width="9.7109375" customWidth="1"/>
    <col min="10488" max="10488" width="45.7109375" customWidth="1"/>
    <col min="10489" max="10489" width="13" customWidth="1"/>
    <col min="10490" max="10490" width="11.5703125" customWidth="1"/>
    <col min="10491" max="10491" width="12.85546875" customWidth="1"/>
    <col min="10492" max="10492" width="0.42578125" customWidth="1"/>
    <col min="10493" max="10493" width="1.85546875" customWidth="1"/>
    <col min="10494" max="10495" width="13.140625" customWidth="1"/>
    <col min="10496" max="10496" width="13.28515625" customWidth="1"/>
    <col min="10497" max="10497" width="12.7109375" customWidth="1"/>
    <col min="10738" max="10738" width="1.42578125" customWidth="1"/>
    <col min="10739" max="10739" width="4.5703125" customWidth="1"/>
    <col min="10740" max="10740" width="5.140625" customWidth="1"/>
    <col min="10741" max="10741" width="4" customWidth="1"/>
    <col min="10742" max="10742" width="6.85546875" customWidth="1"/>
    <col min="10743" max="10743" width="9.7109375" customWidth="1"/>
    <col min="10744" max="10744" width="45.7109375" customWidth="1"/>
    <col min="10745" max="10745" width="13" customWidth="1"/>
    <col min="10746" max="10746" width="11.5703125" customWidth="1"/>
    <col min="10747" max="10747" width="12.85546875" customWidth="1"/>
    <col min="10748" max="10748" width="0.42578125" customWidth="1"/>
    <col min="10749" max="10749" width="1.85546875" customWidth="1"/>
    <col min="10750" max="10751" width="13.140625" customWidth="1"/>
    <col min="10752" max="10752" width="13.28515625" customWidth="1"/>
    <col min="10753" max="10753" width="12.7109375" customWidth="1"/>
    <col min="10994" max="10994" width="1.42578125" customWidth="1"/>
    <col min="10995" max="10995" width="4.5703125" customWidth="1"/>
    <col min="10996" max="10996" width="5.140625" customWidth="1"/>
    <col min="10997" max="10997" width="4" customWidth="1"/>
    <col min="10998" max="10998" width="6.85546875" customWidth="1"/>
    <col min="10999" max="10999" width="9.7109375" customWidth="1"/>
    <col min="11000" max="11000" width="45.7109375" customWidth="1"/>
    <col min="11001" max="11001" width="13" customWidth="1"/>
    <col min="11002" max="11002" width="11.5703125" customWidth="1"/>
    <col min="11003" max="11003" width="12.85546875" customWidth="1"/>
    <col min="11004" max="11004" width="0.42578125" customWidth="1"/>
    <col min="11005" max="11005" width="1.85546875" customWidth="1"/>
    <col min="11006" max="11007" width="13.140625" customWidth="1"/>
    <col min="11008" max="11008" width="13.28515625" customWidth="1"/>
    <col min="11009" max="11009" width="12.7109375" customWidth="1"/>
    <col min="11250" max="11250" width="1.42578125" customWidth="1"/>
    <col min="11251" max="11251" width="4.5703125" customWidth="1"/>
    <col min="11252" max="11252" width="5.140625" customWidth="1"/>
    <col min="11253" max="11253" width="4" customWidth="1"/>
    <col min="11254" max="11254" width="6.85546875" customWidth="1"/>
    <col min="11255" max="11255" width="9.7109375" customWidth="1"/>
    <col min="11256" max="11256" width="45.7109375" customWidth="1"/>
    <col min="11257" max="11257" width="13" customWidth="1"/>
    <col min="11258" max="11258" width="11.5703125" customWidth="1"/>
    <col min="11259" max="11259" width="12.85546875" customWidth="1"/>
    <col min="11260" max="11260" width="0.42578125" customWidth="1"/>
    <col min="11261" max="11261" width="1.85546875" customWidth="1"/>
    <col min="11262" max="11263" width="13.140625" customWidth="1"/>
    <col min="11264" max="11264" width="13.28515625" customWidth="1"/>
    <col min="11265" max="11265" width="12.7109375" customWidth="1"/>
    <col min="11506" max="11506" width="1.42578125" customWidth="1"/>
    <col min="11507" max="11507" width="4.5703125" customWidth="1"/>
    <col min="11508" max="11508" width="5.140625" customWidth="1"/>
    <col min="11509" max="11509" width="4" customWidth="1"/>
    <col min="11510" max="11510" width="6.85546875" customWidth="1"/>
    <col min="11511" max="11511" width="9.7109375" customWidth="1"/>
    <col min="11512" max="11512" width="45.7109375" customWidth="1"/>
    <col min="11513" max="11513" width="13" customWidth="1"/>
    <col min="11514" max="11514" width="11.5703125" customWidth="1"/>
    <col min="11515" max="11515" width="12.85546875" customWidth="1"/>
    <col min="11516" max="11516" width="0.42578125" customWidth="1"/>
    <col min="11517" max="11517" width="1.85546875" customWidth="1"/>
    <col min="11518" max="11519" width="13.140625" customWidth="1"/>
    <col min="11520" max="11520" width="13.28515625" customWidth="1"/>
    <col min="11521" max="11521" width="12.7109375" customWidth="1"/>
    <col min="11762" max="11762" width="1.42578125" customWidth="1"/>
    <col min="11763" max="11763" width="4.5703125" customWidth="1"/>
    <col min="11764" max="11764" width="5.140625" customWidth="1"/>
    <col min="11765" max="11765" width="4" customWidth="1"/>
    <col min="11766" max="11766" width="6.85546875" customWidth="1"/>
    <col min="11767" max="11767" width="9.7109375" customWidth="1"/>
    <col min="11768" max="11768" width="45.7109375" customWidth="1"/>
    <col min="11769" max="11769" width="13" customWidth="1"/>
    <col min="11770" max="11770" width="11.5703125" customWidth="1"/>
    <col min="11771" max="11771" width="12.85546875" customWidth="1"/>
    <col min="11772" max="11772" width="0.42578125" customWidth="1"/>
    <col min="11773" max="11773" width="1.85546875" customWidth="1"/>
    <col min="11774" max="11775" width="13.140625" customWidth="1"/>
    <col min="11776" max="11776" width="13.28515625" customWidth="1"/>
    <col min="11777" max="11777" width="12.7109375" customWidth="1"/>
    <col min="12018" max="12018" width="1.42578125" customWidth="1"/>
    <col min="12019" max="12019" width="4.5703125" customWidth="1"/>
    <col min="12020" max="12020" width="5.140625" customWidth="1"/>
    <col min="12021" max="12021" width="4" customWidth="1"/>
    <col min="12022" max="12022" width="6.85546875" customWidth="1"/>
    <col min="12023" max="12023" width="9.7109375" customWidth="1"/>
    <col min="12024" max="12024" width="45.7109375" customWidth="1"/>
    <col min="12025" max="12025" width="13" customWidth="1"/>
    <col min="12026" max="12026" width="11.5703125" customWidth="1"/>
    <col min="12027" max="12027" width="12.85546875" customWidth="1"/>
    <col min="12028" max="12028" width="0.42578125" customWidth="1"/>
    <col min="12029" max="12029" width="1.85546875" customWidth="1"/>
    <col min="12030" max="12031" width="13.140625" customWidth="1"/>
    <col min="12032" max="12032" width="13.28515625" customWidth="1"/>
    <col min="12033" max="12033" width="12.7109375" customWidth="1"/>
    <col min="12274" max="12274" width="1.42578125" customWidth="1"/>
    <col min="12275" max="12275" width="4.5703125" customWidth="1"/>
    <col min="12276" max="12276" width="5.140625" customWidth="1"/>
    <col min="12277" max="12277" width="4" customWidth="1"/>
    <col min="12278" max="12278" width="6.85546875" customWidth="1"/>
    <col min="12279" max="12279" width="9.7109375" customWidth="1"/>
    <col min="12280" max="12280" width="45.7109375" customWidth="1"/>
    <col min="12281" max="12281" width="13" customWidth="1"/>
    <col min="12282" max="12282" width="11.5703125" customWidth="1"/>
    <col min="12283" max="12283" width="12.85546875" customWidth="1"/>
    <col min="12284" max="12284" width="0.42578125" customWidth="1"/>
    <col min="12285" max="12285" width="1.85546875" customWidth="1"/>
    <col min="12286" max="12287" width="13.140625" customWidth="1"/>
    <col min="12288" max="12288" width="13.28515625" customWidth="1"/>
    <col min="12289" max="12289" width="12.7109375" customWidth="1"/>
    <col min="12530" max="12530" width="1.42578125" customWidth="1"/>
    <col min="12531" max="12531" width="4.5703125" customWidth="1"/>
    <col min="12532" max="12532" width="5.140625" customWidth="1"/>
    <col min="12533" max="12533" width="4" customWidth="1"/>
    <col min="12534" max="12534" width="6.85546875" customWidth="1"/>
    <col min="12535" max="12535" width="9.7109375" customWidth="1"/>
    <col min="12536" max="12536" width="45.7109375" customWidth="1"/>
    <col min="12537" max="12537" width="13" customWidth="1"/>
    <col min="12538" max="12538" width="11.5703125" customWidth="1"/>
    <col min="12539" max="12539" width="12.85546875" customWidth="1"/>
    <col min="12540" max="12540" width="0.42578125" customWidth="1"/>
    <col min="12541" max="12541" width="1.85546875" customWidth="1"/>
    <col min="12542" max="12543" width="13.140625" customWidth="1"/>
    <col min="12544" max="12544" width="13.28515625" customWidth="1"/>
    <col min="12545" max="12545" width="12.7109375" customWidth="1"/>
    <col min="12786" max="12786" width="1.42578125" customWidth="1"/>
    <col min="12787" max="12787" width="4.5703125" customWidth="1"/>
    <col min="12788" max="12788" width="5.140625" customWidth="1"/>
    <col min="12789" max="12789" width="4" customWidth="1"/>
    <col min="12790" max="12790" width="6.85546875" customWidth="1"/>
    <col min="12791" max="12791" width="9.7109375" customWidth="1"/>
    <col min="12792" max="12792" width="45.7109375" customWidth="1"/>
    <col min="12793" max="12793" width="13" customWidth="1"/>
    <col min="12794" max="12794" width="11.5703125" customWidth="1"/>
    <col min="12795" max="12795" width="12.85546875" customWidth="1"/>
    <col min="12796" max="12796" width="0.42578125" customWidth="1"/>
    <col min="12797" max="12797" width="1.85546875" customWidth="1"/>
    <col min="12798" max="12799" width="13.140625" customWidth="1"/>
    <col min="12800" max="12800" width="13.28515625" customWidth="1"/>
    <col min="12801" max="12801" width="12.7109375" customWidth="1"/>
    <col min="13042" max="13042" width="1.42578125" customWidth="1"/>
    <col min="13043" max="13043" width="4.5703125" customWidth="1"/>
    <col min="13044" max="13044" width="5.140625" customWidth="1"/>
    <col min="13045" max="13045" width="4" customWidth="1"/>
    <col min="13046" max="13046" width="6.85546875" customWidth="1"/>
    <col min="13047" max="13047" width="9.7109375" customWidth="1"/>
    <col min="13048" max="13048" width="45.7109375" customWidth="1"/>
    <col min="13049" max="13049" width="13" customWidth="1"/>
    <col min="13050" max="13050" width="11.5703125" customWidth="1"/>
    <col min="13051" max="13051" width="12.85546875" customWidth="1"/>
    <col min="13052" max="13052" width="0.42578125" customWidth="1"/>
    <col min="13053" max="13053" width="1.85546875" customWidth="1"/>
    <col min="13054" max="13055" width="13.140625" customWidth="1"/>
    <col min="13056" max="13056" width="13.28515625" customWidth="1"/>
    <col min="13057" max="13057" width="12.7109375" customWidth="1"/>
    <col min="13298" max="13298" width="1.42578125" customWidth="1"/>
    <col min="13299" max="13299" width="4.5703125" customWidth="1"/>
    <col min="13300" max="13300" width="5.140625" customWidth="1"/>
    <col min="13301" max="13301" width="4" customWidth="1"/>
    <col min="13302" max="13302" width="6.85546875" customWidth="1"/>
    <col min="13303" max="13303" width="9.7109375" customWidth="1"/>
    <col min="13304" max="13304" width="45.7109375" customWidth="1"/>
    <col min="13305" max="13305" width="13" customWidth="1"/>
    <col min="13306" max="13306" width="11.5703125" customWidth="1"/>
    <col min="13307" max="13307" width="12.85546875" customWidth="1"/>
    <col min="13308" max="13308" width="0.42578125" customWidth="1"/>
    <col min="13309" max="13309" width="1.85546875" customWidth="1"/>
    <col min="13310" max="13311" width="13.140625" customWidth="1"/>
    <col min="13312" max="13312" width="13.28515625" customWidth="1"/>
    <col min="13313" max="13313" width="12.7109375" customWidth="1"/>
    <col min="13554" max="13554" width="1.42578125" customWidth="1"/>
    <col min="13555" max="13555" width="4.5703125" customWidth="1"/>
    <col min="13556" max="13556" width="5.140625" customWidth="1"/>
    <col min="13557" max="13557" width="4" customWidth="1"/>
    <col min="13558" max="13558" width="6.85546875" customWidth="1"/>
    <col min="13559" max="13559" width="9.7109375" customWidth="1"/>
    <col min="13560" max="13560" width="45.7109375" customWidth="1"/>
    <col min="13561" max="13561" width="13" customWidth="1"/>
    <col min="13562" max="13562" width="11.5703125" customWidth="1"/>
    <col min="13563" max="13563" width="12.85546875" customWidth="1"/>
    <col min="13564" max="13564" width="0.42578125" customWidth="1"/>
    <col min="13565" max="13565" width="1.85546875" customWidth="1"/>
    <col min="13566" max="13567" width="13.140625" customWidth="1"/>
    <col min="13568" max="13568" width="13.28515625" customWidth="1"/>
    <col min="13569" max="13569" width="12.7109375" customWidth="1"/>
    <col min="13810" max="13810" width="1.42578125" customWidth="1"/>
    <col min="13811" max="13811" width="4.5703125" customWidth="1"/>
    <col min="13812" max="13812" width="5.140625" customWidth="1"/>
    <col min="13813" max="13813" width="4" customWidth="1"/>
    <col min="13814" max="13814" width="6.85546875" customWidth="1"/>
    <col min="13815" max="13815" width="9.7109375" customWidth="1"/>
    <col min="13816" max="13816" width="45.7109375" customWidth="1"/>
    <col min="13817" max="13817" width="13" customWidth="1"/>
    <col min="13818" max="13818" width="11.5703125" customWidth="1"/>
    <col min="13819" max="13819" width="12.85546875" customWidth="1"/>
    <col min="13820" max="13820" width="0.42578125" customWidth="1"/>
    <col min="13821" max="13821" width="1.85546875" customWidth="1"/>
    <col min="13822" max="13823" width="13.140625" customWidth="1"/>
    <col min="13824" max="13824" width="13.28515625" customWidth="1"/>
    <col min="13825" max="13825" width="12.7109375" customWidth="1"/>
    <col min="14066" max="14066" width="1.42578125" customWidth="1"/>
    <col min="14067" max="14067" width="4.5703125" customWidth="1"/>
    <col min="14068" max="14068" width="5.140625" customWidth="1"/>
    <col min="14069" max="14069" width="4" customWidth="1"/>
    <col min="14070" max="14070" width="6.85546875" customWidth="1"/>
    <col min="14071" max="14071" width="9.7109375" customWidth="1"/>
    <col min="14072" max="14072" width="45.7109375" customWidth="1"/>
    <col min="14073" max="14073" width="13" customWidth="1"/>
    <col min="14074" max="14074" width="11.5703125" customWidth="1"/>
    <col min="14075" max="14075" width="12.85546875" customWidth="1"/>
    <col min="14076" max="14076" width="0.42578125" customWidth="1"/>
    <col min="14077" max="14077" width="1.85546875" customWidth="1"/>
    <col min="14078" max="14079" width="13.140625" customWidth="1"/>
    <col min="14080" max="14080" width="13.28515625" customWidth="1"/>
    <col min="14081" max="14081" width="12.7109375" customWidth="1"/>
    <col min="14322" max="14322" width="1.42578125" customWidth="1"/>
    <col min="14323" max="14323" width="4.5703125" customWidth="1"/>
    <col min="14324" max="14324" width="5.140625" customWidth="1"/>
    <col min="14325" max="14325" width="4" customWidth="1"/>
    <col min="14326" max="14326" width="6.85546875" customWidth="1"/>
    <col min="14327" max="14327" width="9.7109375" customWidth="1"/>
    <col min="14328" max="14328" width="45.7109375" customWidth="1"/>
    <col min="14329" max="14329" width="13" customWidth="1"/>
    <col min="14330" max="14330" width="11.5703125" customWidth="1"/>
    <col min="14331" max="14331" width="12.85546875" customWidth="1"/>
    <col min="14332" max="14332" width="0.42578125" customWidth="1"/>
    <col min="14333" max="14333" width="1.85546875" customWidth="1"/>
    <col min="14334" max="14335" width="13.140625" customWidth="1"/>
    <col min="14336" max="14336" width="13.28515625" customWidth="1"/>
    <col min="14337" max="14337" width="12.7109375" customWidth="1"/>
    <col min="14578" max="14578" width="1.42578125" customWidth="1"/>
    <col min="14579" max="14579" width="4.5703125" customWidth="1"/>
    <col min="14580" max="14580" width="5.140625" customWidth="1"/>
    <col min="14581" max="14581" width="4" customWidth="1"/>
    <col min="14582" max="14582" width="6.85546875" customWidth="1"/>
    <col min="14583" max="14583" width="9.7109375" customWidth="1"/>
    <col min="14584" max="14584" width="45.7109375" customWidth="1"/>
    <col min="14585" max="14585" width="13" customWidth="1"/>
    <col min="14586" max="14586" width="11.5703125" customWidth="1"/>
    <col min="14587" max="14587" width="12.85546875" customWidth="1"/>
    <col min="14588" max="14588" width="0.42578125" customWidth="1"/>
    <col min="14589" max="14589" width="1.85546875" customWidth="1"/>
    <col min="14590" max="14591" width="13.140625" customWidth="1"/>
    <col min="14592" max="14592" width="13.28515625" customWidth="1"/>
    <col min="14593" max="14593" width="12.7109375" customWidth="1"/>
    <col min="14834" max="14834" width="1.42578125" customWidth="1"/>
    <col min="14835" max="14835" width="4.5703125" customWidth="1"/>
    <col min="14836" max="14836" width="5.140625" customWidth="1"/>
    <col min="14837" max="14837" width="4" customWidth="1"/>
    <col min="14838" max="14838" width="6.85546875" customWidth="1"/>
    <col min="14839" max="14839" width="9.7109375" customWidth="1"/>
    <col min="14840" max="14840" width="45.7109375" customWidth="1"/>
    <col min="14841" max="14841" width="13" customWidth="1"/>
    <col min="14842" max="14842" width="11.5703125" customWidth="1"/>
    <col min="14843" max="14843" width="12.85546875" customWidth="1"/>
    <col min="14844" max="14844" width="0.42578125" customWidth="1"/>
    <col min="14845" max="14845" width="1.85546875" customWidth="1"/>
    <col min="14846" max="14847" width="13.140625" customWidth="1"/>
    <col min="14848" max="14848" width="13.28515625" customWidth="1"/>
    <col min="14849" max="14849" width="12.7109375" customWidth="1"/>
    <col min="15090" max="15090" width="1.42578125" customWidth="1"/>
    <col min="15091" max="15091" width="4.5703125" customWidth="1"/>
    <col min="15092" max="15092" width="5.140625" customWidth="1"/>
    <col min="15093" max="15093" width="4" customWidth="1"/>
    <col min="15094" max="15094" width="6.85546875" customWidth="1"/>
    <col min="15095" max="15095" width="9.7109375" customWidth="1"/>
    <col min="15096" max="15096" width="45.7109375" customWidth="1"/>
    <col min="15097" max="15097" width="13" customWidth="1"/>
    <col min="15098" max="15098" width="11.5703125" customWidth="1"/>
    <col min="15099" max="15099" width="12.85546875" customWidth="1"/>
    <col min="15100" max="15100" width="0.42578125" customWidth="1"/>
    <col min="15101" max="15101" width="1.85546875" customWidth="1"/>
    <col min="15102" max="15103" width="13.140625" customWidth="1"/>
    <col min="15104" max="15104" width="13.28515625" customWidth="1"/>
    <col min="15105" max="15105" width="12.7109375" customWidth="1"/>
    <col min="15346" max="15346" width="1.42578125" customWidth="1"/>
    <col min="15347" max="15347" width="4.5703125" customWidth="1"/>
    <col min="15348" max="15348" width="5.140625" customWidth="1"/>
    <col min="15349" max="15349" width="4" customWidth="1"/>
    <col min="15350" max="15350" width="6.85546875" customWidth="1"/>
    <col min="15351" max="15351" width="9.7109375" customWidth="1"/>
    <col min="15352" max="15352" width="45.7109375" customWidth="1"/>
    <col min="15353" max="15353" width="13" customWidth="1"/>
    <col min="15354" max="15354" width="11.5703125" customWidth="1"/>
    <col min="15355" max="15355" width="12.85546875" customWidth="1"/>
    <col min="15356" max="15356" width="0.42578125" customWidth="1"/>
    <col min="15357" max="15357" width="1.85546875" customWidth="1"/>
    <col min="15358" max="15359" width="13.140625" customWidth="1"/>
    <col min="15360" max="15360" width="13.28515625" customWidth="1"/>
    <col min="15361" max="15361" width="12.7109375" customWidth="1"/>
    <col min="15602" max="15602" width="1.42578125" customWidth="1"/>
    <col min="15603" max="15603" width="4.5703125" customWidth="1"/>
    <col min="15604" max="15604" width="5.140625" customWidth="1"/>
    <col min="15605" max="15605" width="4" customWidth="1"/>
    <col min="15606" max="15606" width="6.85546875" customWidth="1"/>
    <col min="15607" max="15607" width="9.7109375" customWidth="1"/>
    <col min="15608" max="15608" width="45.7109375" customWidth="1"/>
    <col min="15609" max="15609" width="13" customWidth="1"/>
    <col min="15610" max="15610" width="11.5703125" customWidth="1"/>
    <col min="15611" max="15611" width="12.85546875" customWidth="1"/>
    <col min="15612" max="15612" width="0.42578125" customWidth="1"/>
    <col min="15613" max="15613" width="1.85546875" customWidth="1"/>
    <col min="15614" max="15615" width="13.140625" customWidth="1"/>
    <col min="15616" max="15616" width="13.28515625" customWidth="1"/>
    <col min="15617" max="15617" width="12.7109375" customWidth="1"/>
    <col min="15858" max="15858" width="1.42578125" customWidth="1"/>
    <col min="15859" max="15859" width="4.5703125" customWidth="1"/>
    <col min="15860" max="15860" width="5.140625" customWidth="1"/>
    <col min="15861" max="15861" width="4" customWidth="1"/>
    <col min="15862" max="15862" width="6.85546875" customWidth="1"/>
    <col min="15863" max="15863" width="9.7109375" customWidth="1"/>
    <col min="15864" max="15864" width="45.7109375" customWidth="1"/>
    <col min="15865" max="15865" width="13" customWidth="1"/>
    <col min="15866" max="15866" width="11.5703125" customWidth="1"/>
    <col min="15867" max="15867" width="12.85546875" customWidth="1"/>
    <col min="15868" max="15868" width="0.42578125" customWidth="1"/>
    <col min="15869" max="15869" width="1.85546875" customWidth="1"/>
    <col min="15870" max="15871" width="13.140625" customWidth="1"/>
    <col min="15872" max="15872" width="13.28515625" customWidth="1"/>
    <col min="15873" max="15873" width="12.7109375" customWidth="1"/>
    <col min="16114" max="16114" width="1.42578125" customWidth="1"/>
    <col min="16115" max="16115" width="4.5703125" customWidth="1"/>
    <col min="16116" max="16116" width="5.140625" customWidth="1"/>
    <col min="16117" max="16117" width="4" customWidth="1"/>
    <col min="16118" max="16118" width="6.85546875" customWidth="1"/>
    <col min="16119" max="16119" width="9.7109375" customWidth="1"/>
    <col min="16120" max="16120" width="45.7109375" customWidth="1"/>
    <col min="16121" max="16121" width="13" customWidth="1"/>
    <col min="16122" max="16122" width="11.5703125" customWidth="1"/>
    <col min="16123" max="16123" width="12.85546875" customWidth="1"/>
    <col min="16124" max="16124" width="0.42578125" customWidth="1"/>
    <col min="16125" max="16125" width="1.85546875" customWidth="1"/>
    <col min="16126" max="16127" width="13.140625" customWidth="1"/>
    <col min="16128" max="16128" width="13.28515625" customWidth="1"/>
    <col min="16129" max="16129" width="12.7109375" customWidth="1"/>
  </cols>
  <sheetData>
    <row r="2" spans="2:12" ht="60" customHeight="1" x14ac:dyDescent="0.5">
      <c r="B2" s="278" t="s">
        <v>940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4" spans="2:12" ht="15" customHeight="1" x14ac:dyDescent="0.25">
      <c r="B4" s="262" t="s">
        <v>0</v>
      </c>
      <c r="C4" s="263"/>
      <c r="D4" s="263"/>
      <c r="E4" s="263"/>
      <c r="F4" s="263"/>
      <c r="G4" s="264"/>
      <c r="H4" s="268" t="s">
        <v>934</v>
      </c>
      <c r="I4" s="171"/>
      <c r="J4" s="268" t="s">
        <v>938</v>
      </c>
      <c r="K4" s="171"/>
      <c r="L4" s="268" t="s">
        <v>939</v>
      </c>
    </row>
    <row r="5" spans="2:12" x14ac:dyDescent="0.25">
      <c r="B5" s="265"/>
      <c r="C5" s="266"/>
      <c r="D5" s="266"/>
      <c r="E5" s="266"/>
      <c r="F5" s="266"/>
      <c r="G5" s="267"/>
      <c r="H5" s="269"/>
      <c r="I5" s="171"/>
      <c r="J5" s="269"/>
      <c r="K5" s="171"/>
      <c r="L5" s="269"/>
    </row>
    <row r="6" spans="2:12" ht="4.5" customHeight="1" x14ac:dyDescent="0.25">
      <c r="B6" s="254" t="s">
        <v>5</v>
      </c>
      <c r="C6" s="256" t="s">
        <v>6</v>
      </c>
      <c r="D6" s="258" t="s">
        <v>7</v>
      </c>
      <c r="E6" s="258" t="s">
        <v>8</v>
      </c>
      <c r="F6" s="258" t="s">
        <v>9</v>
      </c>
      <c r="G6" s="260" t="s">
        <v>10</v>
      </c>
      <c r="H6" s="269"/>
      <c r="I6" s="171"/>
      <c r="J6" s="269"/>
      <c r="K6" s="171"/>
      <c r="L6" s="269"/>
    </row>
    <row r="7" spans="2:12" ht="15.75" thickBot="1" x14ac:dyDescent="0.3">
      <c r="B7" s="255"/>
      <c r="C7" s="257"/>
      <c r="D7" s="259"/>
      <c r="E7" s="259"/>
      <c r="F7" s="259"/>
      <c r="G7" s="261"/>
      <c r="H7" s="270"/>
      <c r="I7" s="171"/>
      <c r="J7" s="270"/>
      <c r="K7" s="171"/>
      <c r="L7" s="270"/>
    </row>
    <row r="8" spans="2:12" ht="17.25" thickTop="1" thickBot="1" x14ac:dyDescent="0.3">
      <c r="B8" s="116">
        <v>1</v>
      </c>
      <c r="C8" s="31">
        <v>100</v>
      </c>
      <c r="D8" s="31"/>
      <c r="E8" s="31"/>
      <c r="F8" s="31"/>
      <c r="G8" s="1" t="s">
        <v>11</v>
      </c>
      <c r="H8" s="2">
        <f>H9</f>
        <v>26010000</v>
      </c>
      <c r="I8" s="172"/>
      <c r="J8" s="2">
        <f t="shared" ref="J8:L8" si="0">J9</f>
        <v>26410000</v>
      </c>
      <c r="K8" s="172"/>
      <c r="L8" s="2">
        <f t="shared" si="0"/>
        <v>26860000</v>
      </c>
    </row>
    <row r="9" spans="2:12" ht="15.75" thickBot="1" x14ac:dyDescent="0.3">
      <c r="B9" s="117">
        <f>B8+1</f>
        <v>2</v>
      </c>
      <c r="C9" s="32"/>
      <c r="D9" s="32"/>
      <c r="E9" s="32"/>
      <c r="F9" s="32"/>
      <c r="G9" s="3" t="s">
        <v>12</v>
      </c>
      <c r="H9" s="4">
        <f>H10+H13+H18</f>
        <v>26010000</v>
      </c>
      <c r="I9" s="173"/>
      <c r="J9" s="4">
        <f t="shared" ref="J9:L9" si="1">J18+J13+J10</f>
        <v>26410000</v>
      </c>
      <c r="K9" s="173"/>
      <c r="L9" s="4">
        <f t="shared" si="1"/>
        <v>26860000</v>
      </c>
    </row>
    <row r="10" spans="2:12" x14ac:dyDescent="0.25">
      <c r="B10" s="43">
        <f>B9+1</f>
        <v>3</v>
      </c>
      <c r="C10" s="33">
        <v>110</v>
      </c>
      <c r="D10" s="33"/>
      <c r="E10" s="33"/>
      <c r="F10" s="33"/>
      <c r="G10" s="5" t="s">
        <v>13</v>
      </c>
      <c r="H10" s="6">
        <f>H11</f>
        <v>17850000</v>
      </c>
      <c r="I10" s="174"/>
      <c r="J10" s="6">
        <f t="shared" ref="J10:L11" si="2">J11</f>
        <v>18200000</v>
      </c>
      <c r="K10" s="174"/>
      <c r="L10" s="6">
        <f t="shared" si="2"/>
        <v>18500000</v>
      </c>
    </row>
    <row r="11" spans="2:12" x14ac:dyDescent="0.25">
      <c r="B11" s="43">
        <f>B10+1</f>
        <v>4</v>
      </c>
      <c r="C11" s="34"/>
      <c r="D11" s="34">
        <v>111</v>
      </c>
      <c r="E11" s="34"/>
      <c r="F11" s="34"/>
      <c r="G11" s="7" t="s">
        <v>14</v>
      </c>
      <c r="H11" s="8">
        <f>H12</f>
        <v>17850000</v>
      </c>
      <c r="I11" s="175"/>
      <c r="J11" s="8">
        <f t="shared" si="2"/>
        <v>18200000</v>
      </c>
      <c r="K11" s="175"/>
      <c r="L11" s="8">
        <f t="shared" si="2"/>
        <v>18500000</v>
      </c>
    </row>
    <row r="12" spans="2:12" x14ac:dyDescent="0.25">
      <c r="B12" s="43">
        <f t="shared" ref="B12:B75" si="3">B11+1</f>
        <v>5</v>
      </c>
      <c r="C12" s="35"/>
      <c r="D12" s="35"/>
      <c r="E12" s="35">
        <v>111003</v>
      </c>
      <c r="F12" s="35"/>
      <c r="G12" s="9" t="s">
        <v>15</v>
      </c>
      <c r="H12" s="10">
        <f>17000000+500000+350000</f>
        <v>17850000</v>
      </c>
      <c r="I12" s="176"/>
      <c r="J12" s="10">
        <v>18200000</v>
      </c>
      <c r="K12" s="176"/>
      <c r="L12" s="10">
        <v>18500000</v>
      </c>
    </row>
    <row r="13" spans="2:12" x14ac:dyDescent="0.25">
      <c r="B13" s="43">
        <f t="shared" si="3"/>
        <v>6</v>
      </c>
      <c r="C13" s="33">
        <v>120</v>
      </c>
      <c r="D13" s="33"/>
      <c r="E13" s="33"/>
      <c r="F13" s="33"/>
      <c r="G13" s="5" t="s">
        <v>16</v>
      </c>
      <c r="H13" s="6">
        <f>H14</f>
        <v>5550000</v>
      </c>
      <c r="I13" s="174"/>
      <c r="J13" s="6">
        <f t="shared" ref="J13:L13" si="4">J14</f>
        <v>5600000</v>
      </c>
      <c r="K13" s="174"/>
      <c r="L13" s="6">
        <f t="shared" si="4"/>
        <v>5750000</v>
      </c>
    </row>
    <row r="14" spans="2:12" x14ac:dyDescent="0.25">
      <c r="B14" s="43">
        <f t="shared" si="3"/>
        <v>7</v>
      </c>
      <c r="C14" s="34"/>
      <c r="D14" s="34">
        <v>121</v>
      </c>
      <c r="E14" s="34"/>
      <c r="F14" s="34"/>
      <c r="G14" s="7" t="s">
        <v>17</v>
      </c>
      <c r="H14" s="8">
        <f>H15+H16+H17</f>
        <v>5550000</v>
      </c>
      <c r="I14" s="175"/>
      <c r="J14" s="8">
        <f t="shared" ref="J14:L14" si="5">J17+J16+J15</f>
        <v>5600000</v>
      </c>
      <c r="K14" s="175"/>
      <c r="L14" s="8">
        <f t="shared" si="5"/>
        <v>5750000</v>
      </c>
    </row>
    <row r="15" spans="2:12" x14ac:dyDescent="0.25">
      <c r="B15" s="43">
        <f t="shared" si="3"/>
        <v>8</v>
      </c>
      <c r="C15" s="35"/>
      <c r="D15" s="35"/>
      <c r="E15" s="35">
        <v>121001</v>
      </c>
      <c r="F15" s="35"/>
      <c r="G15" s="9" t="s">
        <v>18</v>
      </c>
      <c r="H15" s="10">
        <v>550000</v>
      </c>
      <c r="I15" s="176"/>
      <c r="J15" s="10">
        <v>550000</v>
      </c>
      <c r="K15" s="176"/>
      <c r="L15" s="10">
        <v>550000</v>
      </c>
    </row>
    <row r="16" spans="2:12" x14ac:dyDescent="0.25">
      <c r="B16" s="43">
        <f t="shared" si="3"/>
        <v>9</v>
      </c>
      <c r="C16" s="35"/>
      <c r="D16" s="35"/>
      <c r="E16" s="35">
        <v>121002</v>
      </c>
      <c r="F16" s="35"/>
      <c r="G16" s="9" t="s">
        <v>19</v>
      </c>
      <c r="H16" s="10">
        <f>4700000-50000</f>
        <v>4650000</v>
      </c>
      <c r="I16" s="176"/>
      <c r="J16" s="10">
        <v>4700000</v>
      </c>
      <c r="K16" s="176"/>
      <c r="L16" s="10">
        <f>4650000+200000</f>
        <v>4850000</v>
      </c>
    </row>
    <row r="17" spans="2:12" x14ac:dyDescent="0.25">
      <c r="B17" s="43">
        <f t="shared" si="3"/>
        <v>10</v>
      </c>
      <c r="C17" s="35"/>
      <c r="D17" s="35"/>
      <c r="E17" s="35">
        <v>121003</v>
      </c>
      <c r="F17" s="35"/>
      <c r="G17" s="9" t="s">
        <v>20</v>
      </c>
      <c r="H17" s="10">
        <v>350000</v>
      </c>
      <c r="I17" s="176"/>
      <c r="J17" s="10">
        <v>350000</v>
      </c>
      <c r="K17" s="176"/>
      <c r="L17" s="10">
        <v>350000</v>
      </c>
    </row>
    <row r="18" spans="2:12" x14ac:dyDescent="0.25">
      <c r="B18" s="43">
        <f t="shared" si="3"/>
        <v>11</v>
      </c>
      <c r="C18" s="33">
        <v>130</v>
      </c>
      <c r="D18" s="33"/>
      <c r="E18" s="33"/>
      <c r="F18" s="33"/>
      <c r="G18" s="5" t="s">
        <v>21</v>
      </c>
      <c r="H18" s="6">
        <f>H19</f>
        <v>2610000</v>
      </c>
      <c r="I18" s="174"/>
      <c r="J18" s="6">
        <f t="shared" ref="J18:L18" si="6">J19</f>
        <v>2610000</v>
      </c>
      <c r="K18" s="174"/>
      <c r="L18" s="6">
        <f t="shared" si="6"/>
        <v>2610000</v>
      </c>
    </row>
    <row r="19" spans="2:12" x14ac:dyDescent="0.25">
      <c r="B19" s="43">
        <f t="shared" si="3"/>
        <v>12</v>
      </c>
      <c r="C19" s="34"/>
      <c r="D19" s="34">
        <v>133</v>
      </c>
      <c r="E19" s="34"/>
      <c r="F19" s="34"/>
      <c r="G19" s="7" t="s">
        <v>22</v>
      </c>
      <c r="H19" s="8">
        <f>SUM(H20:H23)</f>
        <v>2610000</v>
      </c>
      <c r="I19" s="175"/>
      <c r="J19" s="8">
        <f t="shared" ref="J19:L19" si="7">J23+J22+J21+J20</f>
        <v>2610000</v>
      </c>
      <c r="K19" s="175"/>
      <c r="L19" s="8">
        <f t="shared" si="7"/>
        <v>2610000</v>
      </c>
    </row>
    <row r="20" spans="2:12" x14ac:dyDescent="0.25">
      <c r="B20" s="43">
        <f t="shared" si="3"/>
        <v>13</v>
      </c>
      <c r="C20" s="35"/>
      <c r="D20" s="35"/>
      <c r="E20" s="35">
        <v>133001</v>
      </c>
      <c r="F20" s="35"/>
      <c r="G20" s="9" t="s">
        <v>23</v>
      </c>
      <c r="H20" s="10">
        <v>55000</v>
      </c>
      <c r="I20" s="176"/>
      <c r="J20" s="10">
        <v>55000</v>
      </c>
      <c r="K20" s="176"/>
      <c r="L20" s="10">
        <v>55000</v>
      </c>
    </row>
    <row r="21" spans="2:12" x14ac:dyDescent="0.25">
      <c r="B21" s="43">
        <f t="shared" si="3"/>
        <v>14</v>
      </c>
      <c r="C21" s="35"/>
      <c r="D21" s="35"/>
      <c r="E21" s="35">
        <v>133006</v>
      </c>
      <c r="F21" s="35"/>
      <c r="G21" s="9" t="s">
        <v>24</v>
      </c>
      <c r="H21" s="10">
        <v>85000</v>
      </c>
      <c r="I21" s="176"/>
      <c r="J21" s="10">
        <v>85000</v>
      </c>
      <c r="K21" s="176"/>
      <c r="L21" s="10">
        <v>85000</v>
      </c>
    </row>
    <row r="22" spans="2:12" x14ac:dyDescent="0.25">
      <c r="B22" s="43">
        <f t="shared" si="3"/>
        <v>15</v>
      </c>
      <c r="C22" s="35"/>
      <c r="D22" s="35"/>
      <c r="E22" s="35">
        <v>133012</v>
      </c>
      <c r="F22" s="35"/>
      <c r="G22" s="9" t="s">
        <v>25</v>
      </c>
      <c r="H22" s="10">
        <v>70000</v>
      </c>
      <c r="I22" s="176"/>
      <c r="J22" s="10">
        <v>70000</v>
      </c>
      <c r="K22" s="176"/>
      <c r="L22" s="10">
        <v>70000</v>
      </c>
    </row>
    <row r="23" spans="2:12" x14ac:dyDescent="0.25">
      <c r="B23" s="43">
        <f t="shared" si="3"/>
        <v>16</v>
      </c>
      <c r="C23" s="35"/>
      <c r="D23" s="35"/>
      <c r="E23" s="35">
        <v>133013</v>
      </c>
      <c r="F23" s="35"/>
      <c r="G23" s="9" t="s">
        <v>26</v>
      </c>
      <c r="H23" s="10">
        <v>2400000</v>
      </c>
      <c r="I23" s="176"/>
      <c r="J23" s="10">
        <v>2400000</v>
      </c>
      <c r="K23" s="176"/>
      <c r="L23" s="10">
        <v>2400000</v>
      </c>
    </row>
    <row r="24" spans="2:12" ht="16.5" thickBot="1" x14ac:dyDescent="0.3">
      <c r="B24" s="43">
        <f t="shared" si="3"/>
        <v>17</v>
      </c>
      <c r="C24" s="31">
        <v>200</v>
      </c>
      <c r="D24" s="31"/>
      <c r="E24" s="31"/>
      <c r="F24" s="31"/>
      <c r="G24" s="1" t="s">
        <v>27</v>
      </c>
      <c r="H24" s="2">
        <f>H25+H50+H52+H68+H70+H88+H112+H113+H114+H115+H116+H117+H118+H119+H120</f>
        <v>4133901</v>
      </c>
      <c r="I24" s="172"/>
      <c r="J24" s="2">
        <f>J120+J119+J118+J117+J116+J115+J114+J113+J112+J88+J70+J68+J52+J50+J25</f>
        <v>4499100</v>
      </c>
      <c r="K24" s="172"/>
      <c r="L24" s="2">
        <f>L120+L119+L118+L117+L116+L115+L114+L113+L112+L88+L70+L68+L52+L50+L25</f>
        <v>4599100</v>
      </c>
    </row>
    <row r="25" spans="2:12" ht="15.75" thickBot="1" x14ac:dyDescent="0.3">
      <c r="B25" s="43">
        <f t="shared" si="3"/>
        <v>18</v>
      </c>
      <c r="C25" s="32"/>
      <c r="D25" s="32"/>
      <c r="E25" s="32"/>
      <c r="F25" s="32"/>
      <c r="G25" s="3" t="s">
        <v>12</v>
      </c>
      <c r="H25" s="4">
        <f>H26+H30+H41+H44</f>
        <v>1974101</v>
      </c>
      <c r="I25" s="173"/>
      <c r="J25" s="4">
        <f>J44+J41+J30+J26</f>
        <v>2339300</v>
      </c>
      <c r="K25" s="173"/>
      <c r="L25" s="4">
        <f>L44+L41+L30+L26</f>
        <v>2439300</v>
      </c>
    </row>
    <row r="26" spans="2:12" x14ac:dyDescent="0.25">
      <c r="B26" s="43">
        <f t="shared" si="3"/>
        <v>19</v>
      </c>
      <c r="C26" s="33">
        <v>210</v>
      </c>
      <c r="D26" s="33"/>
      <c r="E26" s="33"/>
      <c r="F26" s="33"/>
      <c r="G26" s="5" t="s">
        <v>28</v>
      </c>
      <c r="H26" s="6">
        <f>H27</f>
        <v>417000</v>
      </c>
      <c r="I26" s="174"/>
      <c r="J26" s="6">
        <f t="shared" ref="J26:L26" si="8">J27</f>
        <v>481700</v>
      </c>
      <c r="K26" s="174"/>
      <c r="L26" s="6">
        <f t="shared" si="8"/>
        <v>481700</v>
      </c>
    </row>
    <row r="27" spans="2:12" x14ac:dyDescent="0.25">
      <c r="B27" s="43">
        <f t="shared" si="3"/>
        <v>20</v>
      </c>
      <c r="C27" s="34"/>
      <c r="D27" s="34">
        <v>212</v>
      </c>
      <c r="E27" s="34"/>
      <c r="F27" s="34"/>
      <c r="G27" s="7" t="s">
        <v>31</v>
      </c>
      <c r="H27" s="8">
        <f>H28+H29</f>
        <v>417000</v>
      </c>
      <c r="I27" s="175"/>
      <c r="J27" s="8">
        <f t="shared" ref="J27:L27" si="9">J28+J29</f>
        <v>481700</v>
      </c>
      <c r="K27" s="175"/>
      <c r="L27" s="8">
        <f t="shared" si="9"/>
        <v>481700</v>
      </c>
    </row>
    <row r="28" spans="2:12" x14ac:dyDescent="0.25">
      <c r="B28" s="43">
        <f t="shared" si="3"/>
        <v>21</v>
      </c>
      <c r="C28" s="35"/>
      <c r="D28" s="35"/>
      <c r="E28" s="35">
        <v>212002</v>
      </c>
      <c r="F28" s="35"/>
      <c r="G28" s="9" t="s">
        <v>32</v>
      </c>
      <c r="H28" s="10">
        <v>90000</v>
      </c>
      <c r="I28" s="176"/>
      <c r="J28" s="10">
        <v>90000</v>
      </c>
      <c r="K28" s="176"/>
      <c r="L28" s="10">
        <v>90000</v>
      </c>
    </row>
    <row r="29" spans="2:12" x14ac:dyDescent="0.25">
      <c r="B29" s="43">
        <f t="shared" si="3"/>
        <v>22</v>
      </c>
      <c r="C29" s="35"/>
      <c r="D29" s="35"/>
      <c r="E29" s="35">
        <v>212003</v>
      </c>
      <c r="F29" s="35"/>
      <c r="G29" s="9" t="s">
        <v>33</v>
      </c>
      <c r="H29" s="10">
        <f>Príjmy!H31</f>
        <v>327000</v>
      </c>
      <c r="I29" s="176"/>
      <c r="J29" s="10">
        <f>315000+76700</f>
        <v>391700</v>
      </c>
      <c r="K29" s="176"/>
      <c r="L29" s="10">
        <f>315000+76700</f>
        <v>391700</v>
      </c>
    </row>
    <row r="30" spans="2:12" x14ac:dyDescent="0.25">
      <c r="B30" s="43">
        <f t="shared" si="3"/>
        <v>23</v>
      </c>
      <c r="C30" s="33">
        <v>220</v>
      </c>
      <c r="D30" s="33"/>
      <c r="E30" s="33"/>
      <c r="F30" s="33"/>
      <c r="G30" s="5" t="s">
        <v>35</v>
      </c>
      <c r="H30" s="6">
        <f>H31+H34+H36+H39</f>
        <v>981600</v>
      </c>
      <c r="I30" s="174"/>
      <c r="J30" s="6">
        <f>J39+J36+J34+J31</f>
        <v>1281600</v>
      </c>
      <c r="K30" s="174"/>
      <c r="L30" s="6">
        <f>L39+L36+L34+L31</f>
        <v>1381600</v>
      </c>
    </row>
    <row r="31" spans="2:12" x14ac:dyDescent="0.25">
      <c r="B31" s="43">
        <f t="shared" si="3"/>
        <v>24</v>
      </c>
      <c r="C31" s="34"/>
      <c r="D31" s="34">
        <v>221</v>
      </c>
      <c r="E31" s="34"/>
      <c r="F31" s="34"/>
      <c r="G31" s="7" t="s">
        <v>36</v>
      </c>
      <c r="H31" s="8">
        <f>H32+H33</f>
        <v>290000</v>
      </c>
      <c r="I31" s="175"/>
      <c r="J31" s="8">
        <f t="shared" ref="J31:L31" si="10">J33+J32</f>
        <v>290000</v>
      </c>
      <c r="K31" s="175"/>
      <c r="L31" s="8">
        <f t="shared" si="10"/>
        <v>290000</v>
      </c>
    </row>
    <row r="32" spans="2:12" x14ac:dyDescent="0.25">
      <c r="B32" s="43">
        <f t="shared" si="3"/>
        <v>25</v>
      </c>
      <c r="C32" s="35"/>
      <c r="D32" s="35"/>
      <c r="E32" s="35">
        <v>221004</v>
      </c>
      <c r="F32" s="35"/>
      <c r="G32" s="9" t="s">
        <v>37</v>
      </c>
      <c r="H32" s="10">
        <v>175000</v>
      </c>
      <c r="I32" s="176"/>
      <c r="J32" s="10">
        <v>175000</v>
      </c>
      <c r="K32" s="176"/>
      <c r="L32" s="10">
        <v>175000</v>
      </c>
    </row>
    <row r="33" spans="2:12" x14ac:dyDescent="0.25">
      <c r="B33" s="43">
        <f t="shared" si="3"/>
        <v>26</v>
      </c>
      <c r="C33" s="35"/>
      <c r="D33" s="35"/>
      <c r="E33" s="35">
        <v>221005</v>
      </c>
      <c r="F33" s="35"/>
      <c r="G33" s="9" t="s">
        <v>38</v>
      </c>
      <c r="H33" s="10">
        <v>115000</v>
      </c>
      <c r="I33" s="176"/>
      <c r="J33" s="10">
        <v>115000</v>
      </c>
      <c r="K33" s="176"/>
      <c r="L33" s="10">
        <v>115000</v>
      </c>
    </row>
    <row r="34" spans="2:12" x14ac:dyDescent="0.25">
      <c r="B34" s="43">
        <f t="shared" si="3"/>
        <v>27</v>
      </c>
      <c r="C34" s="34"/>
      <c r="D34" s="34">
        <v>222</v>
      </c>
      <c r="E34" s="34"/>
      <c r="F34" s="34"/>
      <c r="G34" s="7" t="s">
        <v>39</v>
      </c>
      <c r="H34" s="8">
        <f>H35</f>
        <v>90000</v>
      </c>
      <c r="I34" s="175"/>
      <c r="J34" s="8">
        <f t="shared" ref="J34:L34" si="11">J35</f>
        <v>90000</v>
      </c>
      <c r="K34" s="175"/>
      <c r="L34" s="8">
        <f t="shared" si="11"/>
        <v>90000</v>
      </c>
    </row>
    <row r="35" spans="2:12" x14ac:dyDescent="0.25">
      <c r="B35" s="43">
        <f t="shared" si="3"/>
        <v>28</v>
      </c>
      <c r="C35" s="35"/>
      <c r="D35" s="35"/>
      <c r="E35" s="35">
        <v>222003</v>
      </c>
      <c r="F35" s="35"/>
      <c r="G35" s="9" t="s">
        <v>40</v>
      </c>
      <c r="H35" s="10">
        <v>90000</v>
      </c>
      <c r="I35" s="176"/>
      <c r="J35" s="10">
        <v>90000</v>
      </c>
      <c r="K35" s="176"/>
      <c r="L35" s="10">
        <v>90000</v>
      </c>
    </row>
    <row r="36" spans="2:12" x14ac:dyDescent="0.25">
      <c r="B36" s="43">
        <f t="shared" si="3"/>
        <v>29</v>
      </c>
      <c r="C36" s="34"/>
      <c r="D36" s="34">
        <v>223</v>
      </c>
      <c r="E36" s="34"/>
      <c r="F36" s="34"/>
      <c r="G36" s="7" t="s">
        <v>41</v>
      </c>
      <c r="H36" s="8">
        <f>H37+H38</f>
        <v>600000</v>
      </c>
      <c r="I36" s="175"/>
      <c r="J36" s="8">
        <f t="shared" ref="J36:L36" si="12">J37+J38</f>
        <v>900000</v>
      </c>
      <c r="K36" s="175"/>
      <c r="L36" s="8">
        <f t="shared" si="12"/>
        <v>1000000</v>
      </c>
    </row>
    <row r="37" spans="2:12" x14ac:dyDescent="0.25">
      <c r="B37" s="43">
        <f t="shared" si="3"/>
        <v>30</v>
      </c>
      <c r="C37" s="35"/>
      <c r="D37" s="35"/>
      <c r="E37" s="35">
        <v>223001</v>
      </c>
      <c r="F37" s="35"/>
      <c r="G37" s="9" t="s">
        <v>42</v>
      </c>
      <c r="H37" s="10">
        <v>100000</v>
      </c>
      <c r="I37" s="176"/>
      <c r="J37" s="10">
        <v>100000</v>
      </c>
      <c r="K37" s="176"/>
      <c r="L37" s="10">
        <v>100000</v>
      </c>
    </row>
    <row r="38" spans="2:12" x14ac:dyDescent="0.25">
      <c r="B38" s="43">
        <f t="shared" si="3"/>
        <v>31</v>
      </c>
      <c r="C38" s="35"/>
      <c r="D38" s="35"/>
      <c r="E38" s="140">
        <v>223</v>
      </c>
      <c r="F38" s="35"/>
      <c r="G38" s="9" t="s">
        <v>784</v>
      </c>
      <c r="H38" s="10">
        <v>500000</v>
      </c>
      <c r="I38" s="176"/>
      <c r="J38" s="10">
        <v>800000</v>
      </c>
      <c r="K38" s="176"/>
      <c r="L38" s="10">
        <v>900000</v>
      </c>
    </row>
    <row r="39" spans="2:12" x14ac:dyDescent="0.25">
      <c r="B39" s="43">
        <f t="shared" si="3"/>
        <v>32</v>
      </c>
      <c r="C39" s="34"/>
      <c r="D39" s="34">
        <v>229</v>
      </c>
      <c r="E39" s="34"/>
      <c r="F39" s="34"/>
      <c r="G39" s="7" t="s">
        <v>44</v>
      </c>
      <c r="H39" s="8">
        <f>H40</f>
        <v>1600</v>
      </c>
      <c r="I39" s="175"/>
      <c r="J39" s="8">
        <f t="shared" ref="J39:L39" si="13">J40</f>
        <v>1600</v>
      </c>
      <c r="K39" s="175"/>
      <c r="L39" s="8">
        <f t="shared" si="13"/>
        <v>1600</v>
      </c>
    </row>
    <row r="40" spans="2:12" x14ac:dyDescent="0.25">
      <c r="B40" s="43">
        <f t="shared" si="3"/>
        <v>33</v>
      </c>
      <c r="C40" s="35"/>
      <c r="D40" s="35"/>
      <c r="E40" s="35">
        <v>229005</v>
      </c>
      <c r="F40" s="35"/>
      <c r="G40" s="9" t="s">
        <v>45</v>
      </c>
      <c r="H40" s="10">
        <v>1600</v>
      </c>
      <c r="I40" s="176"/>
      <c r="J40" s="10">
        <v>1600</v>
      </c>
      <c r="K40" s="176"/>
      <c r="L40" s="10">
        <v>1600</v>
      </c>
    </row>
    <row r="41" spans="2:12" x14ac:dyDescent="0.25">
      <c r="B41" s="43">
        <f t="shared" si="3"/>
        <v>34</v>
      </c>
      <c r="C41" s="33">
        <v>240</v>
      </c>
      <c r="D41" s="33"/>
      <c r="E41" s="33"/>
      <c r="F41" s="33"/>
      <c r="G41" s="5" t="s">
        <v>46</v>
      </c>
      <c r="H41" s="6">
        <f>H42</f>
        <v>4000</v>
      </c>
      <c r="I41" s="174"/>
      <c r="J41" s="6">
        <f t="shared" ref="J41:L41" si="14">J42</f>
        <v>4000</v>
      </c>
      <c r="K41" s="174"/>
      <c r="L41" s="6">
        <f t="shared" si="14"/>
        <v>4000</v>
      </c>
    </row>
    <row r="42" spans="2:12" x14ac:dyDescent="0.25">
      <c r="B42" s="43">
        <f t="shared" si="3"/>
        <v>35</v>
      </c>
      <c r="C42" s="34"/>
      <c r="D42" s="34">
        <v>242</v>
      </c>
      <c r="E42" s="34"/>
      <c r="F42" s="34"/>
      <c r="G42" s="7" t="s">
        <v>47</v>
      </c>
      <c r="H42" s="8">
        <f>H43</f>
        <v>4000</v>
      </c>
      <c r="I42" s="175"/>
      <c r="J42" s="8">
        <f t="shared" ref="J42:L42" si="15">J43</f>
        <v>4000</v>
      </c>
      <c r="K42" s="175"/>
      <c r="L42" s="8">
        <f t="shared" si="15"/>
        <v>4000</v>
      </c>
    </row>
    <row r="43" spans="2:12" x14ac:dyDescent="0.25">
      <c r="B43" s="43">
        <f t="shared" si="3"/>
        <v>36</v>
      </c>
      <c r="C43" s="35"/>
      <c r="D43" s="35"/>
      <c r="E43" s="35">
        <v>242</v>
      </c>
      <c r="F43" s="35"/>
      <c r="G43" s="9" t="s">
        <v>47</v>
      </c>
      <c r="H43" s="10">
        <v>4000</v>
      </c>
      <c r="I43" s="176"/>
      <c r="J43" s="10">
        <v>4000</v>
      </c>
      <c r="K43" s="176"/>
      <c r="L43" s="10">
        <v>4000</v>
      </c>
    </row>
    <row r="44" spans="2:12" x14ac:dyDescent="0.25">
      <c r="B44" s="43">
        <f t="shared" si="3"/>
        <v>37</v>
      </c>
      <c r="C44" s="33">
        <v>290</v>
      </c>
      <c r="D44" s="33"/>
      <c r="E44" s="33"/>
      <c r="F44" s="33"/>
      <c r="G44" s="5" t="s">
        <v>49</v>
      </c>
      <c r="H44" s="6">
        <f>H45</f>
        <v>571501</v>
      </c>
      <c r="I44" s="174"/>
      <c r="J44" s="6">
        <f t="shared" ref="J44:L44" si="16">J45</f>
        <v>572000</v>
      </c>
      <c r="K44" s="174"/>
      <c r="L44" s="6">
        <f t="shared" si="16"/>
        <v>572000</v>
      </c>
    </row>
    <row r="45" spans="2:12" x14ac:dyDescent="0.25">
      <c r="B45" s="43">
        <f t="shared" si="3"/>
        <v>38</v>
      </c>
      <c r="C45" s="34"/>
      <c r="D45" s="34">
        <v>292</v>
      </c>
      <c r="E45" s="34"/>
      <c r="F45" s="34"/>
      <c r="G45" s="7" t="s">
        <v>50</v>
      </c>
      <c r="H45" s="8">
        <f>SUM(H46:H49)</f>
        <v>571501</v>
      </c>
      <c r="I45" s="175"/>
      <c r="J45" s="8">
        <f t="shared" ref="J45:L45" si="17">SUM(J46:J49)</f>
        <v>572000</v>
      </c>
      <c r="K45" s="175"/>
      <c r="L45" s="8">
        <f t="shared" si="17"/>
        <v>572000</v>
      </c>
    </row>
    <row r="46" spans="2:12" x14ac:dyDescent="0.25">
      <c r="B46" s="43">
        <f t="shared" si="3"/>
        <v>39</v>
      </c>
      <c r="C46" s="35"/>
      <c r="D46" s="35"/>
      <c r="E46" s="35">
        <v>292008</v>
      </c>
      <c r="F46" s="35"/>
      <c r="G46" s="9" t="s">
        <v>52</v>
      </c>
      <c r="H46" s="10">
        <v>300000</v>
      </c>
      <c r="I46" s="176"/>
      <c r="J46" s="10">
        <v>300000</v>
      </c>
      <c r="K46" s="176"/>
      <c r="L46" s="10">
        <v>300000</v>
      </c>
    </row>
    <row r="47" spans="2:12" x14ac:dyDescent="0.25">
      <c r="B47" s="43">
        <f t="shared" si="3"/>
        <v>40</v>
      </c>
      <c r="C47" s="35"/>
      <c r="D47" s="35"/>
      <c r="E47" s="35">
        <v>292012</v>
      </c>
      <c r="F47" s="35"/>
      <c r="G47" s="9" t="s">
        <v>53</v>
      </c>
      <c r="H47" s="10">
        <f>20000+10000</f>
        <v>30000</v>
      </c>
      <c r="I47" s="176"/>
      <c r="J47" s="10">
        <v>30000</v>
      </c>
      <c r="K47" s="176"/>
      <c r="L47" s="10">
        <v>30000</v>
      </c>
    </row>
    <row r="48" spans="2:12" x14ac:dyDescent="0.25">
      <c r="B48" s="43">
        <f t="shared" si="3"/>
        <v>41</v>
      </c>
      <c r="C48" s="35"/>
      <c r="D48" s="35"/>
      <c r="E48" s="35">
        <v>292017</v>
      </c>
      <c r="F48" s="35"/>
      <c r="G48" s="9" t="s">
        <v>54</v>
      </c>
      <c r="H48" s="10">
        <f>100000+10000</f>
        <v>110000</v>
      </c>
      <c r="I48" s="176"/>
      <c r="J48" s="10">
        <v>110000</v>
      </c>
      <c r="K48" s="176"/>
      <c r="L48" s="10">
        <v>110000</v>
      </c>
    </row>
    <row r="49" spans="2:12" ht="15.75" thickBot="1" x14ac:dyDescent="0.3">
      <c r="B49" s="43">
        <f t="shared" si="3"/>
        <v>42</v>
      </c>
      <c r="C49" s="35"/>
      <c r="D49" s="35"/>
      <c r="E49" s="35">
        <v>292027</v>
      </c>
      <c r="F49" s="35"/>
      <c r="G49" s="9" t="s">
        <v>56</v>
      </c>
      <c r="H49" s="10">
        <f>80000+11840+22500+4161+1000+12000</f>
        <v>131501</v>
      </c>
      <c r="I49" s="176"/>
      <c r="J49" s="10">
        <v>132000</v>
      </c>
      <c r="K49" s="176"/>
      <c r="L49" s="10">
        <v>132000</v>
      </c>
    </row>
    <row r="50" spans="2:12" ht="15.75" thickBot="1" x14ac:dyDescent="0.3">
      <c r="B50" s="43">
        <f t="shared" si="3"/>
        <v>43</v>
      </c>
      <c r="C50" s="32">
        <v>1</v>
      </c>
      <c r="D50" s="32"/>
      <c r="E50" s="32"/>
      <c r="F50" s="32"/>
      <c r="G50" s="3" t="s">
        <v>57</v>
      </c>
      <c r="H50" s="4">
        <f>H51</f>
        <v>2500</v>
      </c>
      <c r="I50" s="173"/>
      <c r="J50" s="4">
        <f t="shared" ref="J50:L50" si="18">J51</f>
        <v>2500</v>
      </c>
      <c r="K50" s="173"/>
      <c r="L50" s="4">
        <f t="shared" si="18"/>
        <v>2500</v>
      </c>
    </row>
    <row r="51" spans="2:12" ht="15.75" thickBot="1" x14ac:dyDescent="0.3">
      <c r="B51" s="43">
        <f t="shared" si="3"/>
        <v>44</v>
      </c>
      <c r="C51" s="33">
        <v>220</v>
      </c>
      <c r="D51" s="33"/>
      <c r="E51" s="33"/>
      <c r="F51" s="33"/>
      <c r="G51" s="5" t="s">
        <v>35</v>
      </c>
      <c r="H51" s="6">
        <v>2500</v>
      </c>
      <c r="I51" s="174"/>
      <c r="J51" s="6">
        <v>2500</v>
      </c>
      <c r="K51" s="174"/>
      <c r="L51" s="6">
        <v>2500</v>
      </c>
    </row>
    <row r="52" spans="2:12" ht="15.75" thickBot="1" x14ac:dyDescent="0.3">
      <c r="B52" s="43">
        <f t="shared" si="3"/>
        <v>45</v>
      </c>
      <c r="C52" s="32">
        <v>2</v>
      </c>
      <c r="D52" s="32"/>
      <c r="E52" s="32"/>
      <c r="F52" s="32"/>
      <c r="G52" s="3" t="s">
        <v>59</v>
      </c>
      <c r="H52" s="4">
        <f>H53+H54+H55+H56+H57+H58+H59+H60+H61+H62+H63+H64+H65+H66+H67</f>
        <v>973600</v>
      </c>
      <c r="I52" s="173"/>
      <c r="J52" s="4">
        <f>J53+J54+J55+J56+J57+J58+J59+J60+J61+J62+J63+J64+J65+J66+J67</f>
        <v>973600</v>
      </c>
      <c r="K52" s="173"/>
      <c r="L52" s="4">
        <f>L53+L54+L55+L56+L57+L58+L59+L60+L61+L62+L63+L64+L65+L66+L67</f>
        <v>973600</v>
      </c>
    </row>
    <row r="53" spans="2:12" x14ac:dyDescent="0.25">
      <c r="B53" s="43">
        <f t="shared" si="3"/>
        <v>46</v>
      </c>
      <c r="C53" s="33"/>
      <c r="D53" s="33"/>
      <c r="E53" s="33"/>
      <c r="F53" s="33"/>
      <c r="G53" s="5" t="s">
        <v>62</v>
      </c>
      <c r="H53" s="6">
        <v>2000</v>
      </c>
      <c r="I53" s="174"/>
      <c r="J53" s="6">
        <v>2000</v>
      </c>
      <c r="K53" s="174"/>
      <c r="L53" s="6">
        <v>2000</v>
      </c>
    </row>
    <row r="54" spans="2:12" x14ac:dyDescent="0.25">
      <c r="B54" s="43">
        <f t="shared" si="3"/>
        <v>47</v>
      </c>
      <c r="C54" s="33"/>
      <c r="D54" s="33"/>
      <c r="E54" s="33"/>
      <c r="F54" s="33"/>
      <c r="G54" s="5" t="s">
        <v>65</v>
      </c>
      <c r="H54" s="6">
        <v>1000</v>
      </c>
      <c r="I54" s="174"/>
      <c r="J54" s="6">
        <v>1000</v>
      </c>
      <c r="K54" s="174"/>
      <c r="L54" s="6">
        <v>1000</v>
      </c>
    </row>
    <row r="55" spans="2:12" x14ac:dyDescent="0.25">
      <c r="B55" s="43">
        <f t="shared" si="3"/>
        <v>48</v>
      </c>
      <c r="C55" s="33"/>
      <c r="D55" s="33"/>
      <c r="E55" s="33"/>
      <c r="F55" s="33"/>
      <c r="G55" s="5" t="s">
        <v>67</v>
      </c>
      <c r="H55" s="6">
        <v>8000</v>
      </c>
      <c r="I55" s="174"/>
      <c r="J55" s="6">
        <v>8000</v>
      </c>
      <c r="K55" s="174"/>
      <c r="L55" s="6">
        <v>8000</v>
      </c>
    </row>
    <row r="56" spans="2:12" x14ac:dyDescent="0.25">
      <c r="B56" s="43">
        <f t="shared" si="3"/>
        <v>49</v>
      </c>
      <c r="C56" s="33"/>
      <c r="D56" s="33"/>
      <c r="E56" s="33"/>
      <c r="F56" s="33"/>
      <c r="G56" s="5" t="s">
        <v>70</v>
      </c>
      <c r="H56" s="6">
        <v>1500</v>
      </c>
      <c r="I56" s="174"/>
      <c r="J56" s="6">
        <v>1500</v>
      </c>
      <c r="K56" s="174"/>
      <c r="L56" s="6">
        <v>1500</v>
      </c>
    </row>
    <row r="57" spans="2:12" x14ac:dyDescent="0.25">
      <c r="B57" s="43">
        <f t="shared" si="3"/>
        <v>50</v>
      </c>
      <c r="C57" s="33"/>
      <c r="D57" s="33"/>
      <c r="E57" s="33"/>
      <c r="F57" s="33"/>
      <c r="G57" s="5" t="s">
        <v>73</v>
      </c>
      <c r="H57" s="6">
        <v>1000</v>
      </c>
      <c r="I57" s="174"/>
      <c r="J57" s="6">
        <v>1000</v>
      </c>
      <c r="K57" s="174"/>
      <c r="L57" s="6">
        <v>1000</v>
      </c>
    </row>
    <row r="58" spans="2:12" x14ac:dyDescent="0.25">
      <c r="B58" s="43">
        <f t="shared" si="3"/>
        <v>51</v>
      </c>
      <c r="C58" s="33"/>
      <c r="D58" s="33"/>
      <c r="E58" s="33"/>
      <c r="F58" s="33"/>
      <c r="G58" s="5" t="s">
        <v>75</v>
      </c>
      <c r="H58" s="6">
        <v>50850</v>
      </c>
      <c r="I58" s="174"/>
      <c r="J58" s="6">
        <v>50850</v>
      </c>
      <c r="K58" s="174"/>
      <c r="L58" s="6">
        <v>50850</v>
      </c>
    </row>
    <row r="59" spans="2:12" x14ac:dyDescent="0.25">
      <c r="B59" s="43">
        <f t="shared" si="3"/>
        <v>52</v>
      </c>
      <c r="C59" s="33"/>
      <c r="D59" s="33"/>
      <c r="E59" s="33"/>
      <c r="F59" s="33"/>
      <c r="G59" s="5" t="s">
        <v>78</v>
      </c>
      <c r="H59" s="6">
        <v>21000</v>
      </c>
      <c r="I59" s="174"/>
      <c r="J59" s="6">
        <v>21000</v>
      </c>
      <c r="K59" s="174"/>
      <c r="L59" s="6">
        <v>21000</v>
      </c>
    </row>
    <row r="60" spans="2:12" x14ac:dyDescent="0.25">
      <c r="B60" s="43">
        <f t="shared" si="3"/>
        <v>53</v>
      </c>
      <c r="C60" s="33"/>
      <c r="D60" s="33"/>
      <c r="E60" s="33"/>
      <c r="F60" s="33"/>
      <c r="G60" s="5" t="s">
        <v>79</v>
      </c>
      <c r="H60" s="6">
        <v>3500</v>
      </c>
      <c r="I60" s="174"/>
      <c r="J60" s="6">
        <v>3500</v>
      </c>
      <c r="K60" s="174"/>
      <c r="L60" s="6">
        <v>3500</v>
      </c>
    </row>
    <row r="61" spans="2:12" x14ac:dyDescent="0.25">
      <c r="B61" s="43">
        <f t="shared" si="3"/>
        <v>54</v>
      </c>
      <c r="C61" s="33"/>
      <c r="D61" s="33"/>
      <c r="E61" s="33"/>
      <c r="F61" s="33"/>
      <c r="G61" s="5" t="s">
        <v>84</v>
      </c>
      <c r="H61" s="6">
        <v>167000</v>
      </c>
      <c r="I61" s="174"/>
      <c r="J61" s="6">
        <v>167000</v>
      </c>
      <c r="K61" s="174"/>
      <c r="L61" s="6">
        <v>167000</v>
      </c>
    </row>
    <row r="62" spans="2:12" x14ac:dyDescent="0.25">
      <c r="B62" s="43">
        <f t="shared" si="3"/>
        <v>55</v>
      </c>
      <c r="C62" s="33"/>
      <c r="D62" s="33"/>
      <c r="E62" s="33"/>
      <c r="F62" s="33"/>
      <c r="G62" s="5" t="s">
        <v>86</v>
      </c>
      <c r="H62" s="6">
        <v>105500</v>
      </c>
      <c r="I62" s="174"/>
      <c r="J62" s="6">
        <v>105500</v>
      </c>
      <c r="K62" s="174"/>
      <c r="L62" s="6">
        <v>105500</v>
      </c>
    </row>
    <row r="63" spans="2:12" x14ac:dyDescent="0.25">
      <c r="B63" s="43">
        <f t="shared" si="3"/>
        <v>56</v>
      </c>
      <c r="C63" s="33"/>
      <c r="D63" s="33"/>
      <c r="E63" s="33"/>
      <c r="F63" s="33"/>
      <c r="G63" s="5" t="s">
        <v>88</v>
      </c>
      <c r="H63" s="6">
        <v>467900</v>
      </c>
      <c r="I63" s="174"/>
      <c r="J63" s="6">
        <v>467900</v>
      </c>
      <c r="K63" s="174"/>
      <c r="L63" s="6">
        <v>467900</v>
      </c>
    </row>
    <row r="64" spans="2:12" x14ac:dyDescent="0.25">
      <c r="B64" s="43">
        <f t="shared" si="3"/>
        <v>57</v>
      </c>
      <c r="C64" s="33"/>
      <c r="D64" s="33"/>
      <c r="E64" s="33"/>
      <c r="F64" s="33"/>
      <c r="G64" s="5" t="s">
        <v>90</v>
      </c>
      <c r="H64" s="6">
        <v>75000</v>
      </c>
      <c r="I64" s="174"/>
      <c r="J64" s="6">
        <v>75000</v>
      </c>
      <c r="K64" s="174"/>
      <c r="L64" s="6">
        <v>75000</v>
      </c>
    </row>
    <row r="65" spans="2:12" x14ac:dyDescent="0.25">
      <c r="B65" s="43">
        <f t="shared" si="3"/>
        <v>58</v>
      </c>
      <c r="C65" s="33"/>
      <c r="D65" s="33"/>
      <c r="E65" s="33"/>
      <c r="F65" s="33"/>
      <c r="G65" s="5" t="s">
        <v>94</v>
      </c>
      <c r="H65" s="6">
        <v>12550</v>
      </c>
      <c r="I65" s="174"/>
      <c r="J65" s="6">
        <v>12550</v>
      </c>
      <c r="K65" s="174"/>
      <c r="L65" s="6">
        <v>12550</v>
      </c>
    </row>
    <row r="66" spans="2:12" x14ac:dyDescent="0.25">
      <c r="B66" s="43">
        <f t="shared" si="3"/>
        <v>59</v>
      </c>
      <c r="C66" s="33"/>
      <c r="D66" s="33"/>
      <c r="E66" s="33"/>
      <c r="F66" s="33"/>
      <c r="G66" s="5" t="s">
        <v>96</v>
      </c>
      <c r="H66" s="6">
        <v>49200</v>
      </c>
      <c r="I66" s="174"/>
      <c r="J66" s="6">
        <v>49200</v>
      </c>
      <c r="K66" s="174"/>
      <c r="L66" s="6">
        <v>49200</v>
      </c>
    </row>
    <row r="67" spans="2:12" ht="15.75" thickBot="1" x14ac:dyDescent="0.3">
      <c r="B67" s="43">
        <f t="shared" si="3"/>
        <v>60</v>
      </c>
      <c r="C67" s="33"/>
      <c r="D67" s="33"/>
      <c r="E67" s="33"/>
      <c r="F67" s="33"/>
      <c r="G67" s="5" t="s">
        <v>98</v>
      </c>
      <c r="H67" s="6">
        <v>7600</v>
      </c>
      <c r="I67" s="174"/>
      <c r="J67" s="6">
        <v>7600</v>
      </c>
      <c r="K67" s="174"/>
      <c r="L67" s="6">
        <v>7600</v>
      </c>
    </row>
    <row r="68" spans="2:12" ht="15.75" thickBot="1" x14ac:dyDescent="0.3">
      <c r="B68" s="43">
        <f t="shared" si="3"/>
        <v>61</v>
      </c>
      <c r="C68" s="32">
        <v>3</v>
      </c>
      <c r="D68" s="32"/>
      <c r="E68" s="32"/>
      <c r="F68" s="32"/>
      <c r="G68" s="3" t="s">
        <v>99</v>
      </c>
      <c r="H68" s="4">
        <f>H69</f>
        <v>19000</v>
      </c>
      <c r="I68" s="173"/>
      <c r="J68" s="4">
        <f t="shared" ref="J68:L68" si="19">J69</f>
        <v>19000</v>
      </c>
      <c r="K68" s="173"/>
      <c r="L68" s="4">
        <f t="shared" si="19"/>
        <v>19000</v>
      </c>
    </row>
    <row r="69" spans="2:12" ht="15.75" thickBot="1" x14ac:dyDescent="0.3">
      <c r="B69" s="43">
        <f t="shared" si="3"/>
        <v>62</v>
      </c>
      <c r="C69" s="33"/>
      <c r="D69" s="33"/>
      <c r="E69" s="33"/>
      <c r="F69" s="33"/>
      <c r="G69" s="5" t="s">
        <v>35</v>
      </c>
      <c r="H69" s="6">
        <v>19000</v>
      </c>
      <c r="I69" s="174"/>
      <c r="J69" s="6">
        <v>19000</v>
      </c>
      <c r="K69" s="174"/>
      <c r="L69" s="6">
        <v>19000</v>
      </c>
    </row>
    <row r="70" spans="2:12" ht="15.75" thickBot="1" x14ac:dyDescent="0.3">
      <c r="B70" s="43">
        <f t="shared" si="3"/>
        <v>63</v>
      </c>
      <c r="C70" s="32">
        <v>4</v>
      </c>
      <c r="D70" s="32"/>
      <c r="E70" s="32"/>
      <c r="F70" s="32"/>
      <c r="G70" s="3" t="s">
        <v>100</v>
      </c>
      <c r="H70" s="4">
        <f>H71+H72+H73+H74+H75+H76+H77+H78+H79+H80+H81+H82+H83+H84+H85+H86+H87</f>
        <v>134200</v>
      </c>
      <c r="I70" s="173"/>
      <c r="J70" s="4">
        <f>J71+J72+J73+J74+J75+J76+J77+J78+J79+J80+J81+J82+J83+J84+J85+J86+J87</f>
        <v>134200</v>
      </c>
      <c r="K70" s="173"/>
      <c r="L70" s="4">
        <f>L71+L72+L73+L74+L75+L76+L77+L78+L79+L80+L81+L82+L83+L84+L85+L86+L87</f>
        <v>134200</v>
      </c>
    </row>
    <row r="71" spans="2:12" x14ac:dyDescent="0.25">
      <c r="B71" s="43">
        <f t="shared" si="3"/>
        <v>64</v>
      </c>
      <c r="C71" s="33"/>
      <c r="D71" s="33"/>
      <c r="E71" s="33"/>
      <c r="F71" s="33"/>
      <c r="G71" s="5" t="s">
        <v>103</v>
      </c>
      <c r="H71" s="6">
        <v>6700</v>
      </c>
      <c r="I71" s="174"/>
      <c r="J71" s="6">
        <v>6700</v>
      </c>
      <c r="K71" s="174"/>
      <c r="L71" s="6">
        <v>6700</v>
      </c>
    </row>
    <row r="72" spans="2:12" x14ac:dyDescent="0.25">
      <c r="B72" s="43">
        <f t="shared" si="3"/>
        <v>65</v>
      </c>
      <c r="C72" s="33"/>
      <c r="D72" s="33"/>
      <c r="E72" s="33"/>
      <c r="F72" s="33"/>
      <c r="G72" s="5" t="s">
        <v>105</v>
      </c>
      <c r="H72" s="6">
        <v>12000</v>
      </c>
      <c r="I72" s="174"/>
      <c r="J72" s="6">
        <v>12000</v>
      </c>
      <c r="K72" s="174"/>
      <c r="L72" s="6">
        <v>12000</v>
      </c>
    </row>
    <row r="73" spans="2:12" x14ac:dyDescent="0.25">
      <c r="B73" s="43">
        <f t="shared" si="3"/>
        <v>66</v>
      </c>
      <c r="C73" s="33"/>
      <c r="D73" s="33"/>
      <c r="E73" s="33"/>
      <c r="F73" s="33"/>
      <c r="G73" s="5" t="s">
        <v>107</v>
      </c>
      <c r="H73" s="6">
        <v>6500</v>
      </c>
      <c r="I73" s="174"/>
      <c r="J73" s="6">
        <v>6500</v>
      </c>
      <c r="K73" s="174"/>
      <c r="L73" s="6">
        <v>6500</v>
      </c>
    </row>
    <row r="74" spans="2:12" x14ac:dyDescent="0.25">
      <c r="B74" s="43">
        <f t="shared" si="3"/>
        <v>67</v>
      </c>
      <c r="C74" s="33"/>
      <c r="D74" s="33"/>
      <c r="E74" s="33"/>
      <c r="F74" s="33"/>
      <c r="G74" s="5" t="s">
        <v>109</v>
      </c>
      <c r="H74" s="6">
        <v>8500</v>
      </c>
      <c r="I74" s="174"/>
      <c r="J74" s="6">
        <v>8500</v>
      </c>
      <c r="K74" s="174"/>
      <c r="L74" s="6">
        <v>8500</v>
      </c>
    </row>
    <row r="75" spans="2:12" ht="16.5" customHeight="1" x14ac:dyDescent="0.25">
      <c r="B75" s="43">
        <f t="shared" si="3"/>
        <v>68</v>
      </c>
      <c r="C75" s="33"/>
      <c r="D75" s="33"/>
      <c r="E75" s="33"/>
      <c r="F75" s="33"/>
      <c r="G75" s="5" t="s">
        <v>111</v>
      </c>
      <c r="H75" s="6">
        <v>7500</v>
      </c>
      <c r="I75" s="174"/>
      <c r="J75" s="6">
        <v>7500</v>
      </c>
      <c r="K75" s="174"/>
      <c r="L75" s="6">
        <v>7500</v>
      </c>
    </row>
    <row r="76" spans="2:12" x14ac:dyDescent="0.25">
      <c r="B76" s="43">
        <f t="shared" ref="B76:B139" si="20">B75+1</f>
        <v>69</v>
      </c>
      <c r="C76" s="33"/>
      <c r="D76" s="33"/>
      <c r="E76" s="33"/>
      <c r="F76" s="33"/>
      <c r="G76" s="5" t="s">
        <v>113</v>
      </c>
      <c r="H76" s="6">
        <v>12000</v>
      </c>
      <c r="I76" s="174"/>
      <c r="J76" s="6">
        <v>12000</v>
      </c>
      <c r="K76" s="174"/>
      <c r="L76" s="6">
        <v>12000</v>
      </c>
    </row>
    <row r="77" spans="2:12" x14ac:dyDescent="0.25">
      <c r="B77" s="43">
        <f t="shared" si="20"/>
        <v>70</v>
      </c>
      <c r="C77" s="33"/>
      <c r="D77" s="33"/>
      <c r="E77" s="33"/>
      <c r="F77" s="33"/>
      <c r="G77" s="5" t="s">
        <v>115</v>
      </c>
      <c r="H77" s="6">
        <v>14400</v>
      </c>
      <c r="I77" s="174"/>
      <c r="J77" s="6">
        <v>14400</v>
      </c>
      <c r="K77" s="174"/>
      <c r="L77" s="6">
        <v>14400</v>
      </c>
    </row>
    <row r="78" spans="2:12" x14ac:dyDescent="0.25">
      <c r="B78" s="43">
        <f t="shared" si="20"/>
        <v>71</v>
      </c>
      <c r="C78" s="33"/>
      <c r="D78" s="33"/>
      <c r="E78" s="33"/>
      <c r="F78" s="33"/>
      <c r="G78" s="5" t="s">
        <v>117</v>
      </c>
      <c r="H78" s="6">
        <v>7800</v>
      </c>
      <c r="I78" s="174"/>
      <c r="J78" s="6">
        <v>7800</v>
      </c>
      <c r="K78" s="174"/>
      <c r="L78" s="6">
        <v>7800</v>
      </c>
    </row>
    <row r="79" spans="2:12" x14ac:dyDescent="0.25">
      <c r="B79" s="43">
        <f t="shared" si="20"/>
        <v>72</v>
      </c>
      <c r="C79" s="33"/>
      <c r="D79" s="33"/>
      <c r="E79" s="33"/>
      <c r="F79" s="33"/>
      <c r="G79" s="5" t="s">
        <v>119</v>
      </c>
      <c r="H79" s="6">
        <v>9700</v>
      </c>
      <c r="I79" s="174"/>
      <c r="J79" s="6">
        <v>9700</v>
      </c>
      <c r="K79" s="174"/>
      <c r="L79" s="6">
        <v>9700</v>
      </c>
    </row>
    <row r="80" spans="2:12" x14ac:dyDescent="0.25">
      <c r="B80" s="43">
        <f t="shared" si="20"/>
        <v>73</v>
      </c>
      <c r="C80" s="33"/>
      <c r="D80" s="33"/>
      <c r="E80" s="33"/>
      <c r="F80" s="33"/>
      <c r="G80" s="5" t="s">
        <v>121</v>
      </c>
      <c r="H80" s="6">
        <v>12700</v>
      </c>
      <c r="I80" s="174"/>
      <c r="J80" s="6">
        <v>12700</v>
      </c>
      <c r="K80" s="174"/>
      <c r="L80" s="6">
        <v>12700</v>
      </c>
    </row>
    <row r="81" spans="2:12" x14ac:dyDescent="0.25">
      <c r="B81" s="43">
        <f t="shared" si="20"/>
        <v>74</v>
      </c>
      <c r="C81" s="33"/>
      <c r="D81" s="33"/>
      <c r="E81" s="33"/>
      <c r="F81" s="33"/>
      <c r="G81" s="5" t="s">
        <v>123</v>
      </c>
      <c r="H81" s="6">
        <v>7800</v>
      </c>
      <c r="I81" s="174"/>
      <c r="J81" s="6">
        <v>7800</v>
      </c>
      <c r="K81" s="174"/>
      <c r="L81" s="6">
        <v>7800</v>
      </c>
    </row>
    <row r="82" spans="2:12" x14ac:dyDescent="0.25">
      <c r="B82" s="43">
        <f t="shared" si="20"/>
        <v>75</v>
      </c>
      <c r="C82" s="33"/>
      <c r="D82" s="33"/>
      <c r="E82" s="33"/>
      <c r="F82" s="33"/>
      <c r="G82" s="5" t="s">
        <v>125</v>
      </c>
      <c r="H82" s="6">
        <v>3900</v>
      </c>
      <c r="I82" s="174"/>
      <c r="J82" s="6">
        <v>3900</v>
      </c>
      <c r="K82" s="174"/>
      <c r="L82" s="6">
        <v>3900</v>
      </c>
    </row>
    <row r="83" spans="2:12" x14ac:dyDescent="0.25">
      <c r="B83" s="43">
        <f t="shared" si="20"/>
        <v>76</v>
      </c>
      <c r="C83" s="33"/>
      <c r="D83" s="33"/>
      <c r="E83" s="33"/>
      <c r="F83" s="33"/>
      <c r="G83" s="5" t="s">
        <v>127</v>
      </c>
      <c r="H83" s="6">
        <v>3500</v>
      </c>
      <c r="I83" s="174"/>
      <c r="J83" s="6">
        <v>3500</v>
      </c>
      <c r="K83" s="174"/>
      <c r="L83" s="6">
        <v>3500</v>
      </c>
    </row>
    <row r="84" spans="2:12" x14ac:dyDescent="0.25">
      <c r="B84" s="43">
        <f t="shared" si="20"/>
        <v>77</v>
      </c>
      <c r="C84" s="33"/>
      <c r="D84" s="33"/>
      <c r="E84" s="33"/>
      <c r="F84" s="33"/>
      <c r="G84" s="5" t="s">
        <v>129</v>
      </c>
      <c r="H84" s="6">
        <v>3500</v>
      </c>
      <c r="I84" s="174"/>
      <c r="J84" s="6">
        <v>3500</v>
      </c>
      <c r="K84" s="174"/>
      <c r="L84" s="6">
        <v>3500</v>
      </c>
    </row>
    <row r="85" spans="2:12" x14ac:dyDescent="0.25">
      <c r="B85" s="43">
        <f t="shared" si="20"/>
        <v>78</v>
      </c>
      <c r="C85" s="33"/>
      <c r="D85" s="33"/>
      <c r="E85" s="33"/>
      <c r="F85" s="33"/>
      <c r="G85" s="5" t="s">
        <v>131</v>
      </c>
      <c r="H85" s="6">
        <v>13300</v>
      </c>
      <c r="I85" s="174"/>
      <c r="J85" s="6">
        <v>13300</v>
      </c>
      <c r="K85" s="174"/>
      <c r="L85" s="6">
        <v>13300</v>
      </c>
    </row>
    <row r="86" spans="2:12" x14ac:dyDescent="0.25">
      <c r="B86" s="43">
        <f t="shared" si="20"/>
        <v>79</v>
      </c>
      <c r="C86" s="33"/>
      <c r="D86" s="33"/>
      <c r="E86" s="33"/>
      <c r="F86" s="33"/>
      <c r="G86" s="5" t="s">
        <v>133</v>
      </c>
      <c r="H86" s="6">
        <v>1100</v>
      </c>
      <c r="I86" s="174"/>
      <c r="J86" s="6">
        <v>1100</v>
      </c>
      <c r="K86" s="174"/>
      <c r="L86" s="6">
        <v>1100</v>
      </c>
    </row>
    <row r="87" spans="2:12" ht="15.75" thickBot="1" x14ac:dyDescent="0.3">
      <c r="B87" s="43">
        <f t="shared" si="20"/>
        <v>80</v>
      </c>
      <c r="C87" s="33"/>
      <c r="D87" s="33"/>
      <c r="E87" s="33"/>
      <c r="F87" s="33"/>
      <c r="G87" s="5" t="s">
        <v>137</v>
      </c>
      <c r="H87" s="6">
        <v>3300</v>
      </c>
      <c r="I87" s="174"/>
      <c r="J87" s="6">
        <v>3300</v>
      </c>
      <c r="K87" s="174"/>
      <c r="L87" s="6">
        <v>3300</v>
      </c>
    </row>
    <row r="88" spans="2:12" ht="15.75" thickBot="1" x14ac:dyDescent="0.3">
      <c r="B88" s="43">
        <f t="shared" si="20"/>
        <v>81</v>
      </c>
      <c r="C88" s="32">
        <v>5</v>
      </c>
      <c r="D88" s="32"/>
      <c r="E88" s="32"/>
      <c r="F88" s="32"/>
      <c r="G88" s="3" t="s">
        <v>138</v>
      </c>
      <c r="H88" s="4">
        <f>H89+H90+H91+H92+H93+H94+H95+H96+H97+H98+H99+H100+H101+H102+H103+H104+H105+H106+H107+H108+H109+H110+H111</f>
        <v>706000</v>
      </c>
      <c r="I88" s="173"/>
      <c r="J88" s="4">
        <f>J89+J90+J91+J92+J93+J94+J95+J96+J97+J98+J99+J100+J101+J102+J103+J104+J105+J106+J107+J108+J109+J110+J111</f>
        <v>706000</v>
      </c>
      <c r="K88" s="173"/>
      <c r="L88" s="4">
        <f>L89+L90+L91+L92+L93+L94+L95+L96+L97+L98+L99+L100+L101+L102+L103+L104+L105+L106+L107+L108+L109+L110+L111</f>
        <v>706000</v>
      </c>
    </row>
    <row r="89" spans="2:12" x14ac:dyDescent="0.25">
      <c r="B89" s="43">
        <f t="shared" si="20"/>
        <v>82</v>
      </c>
      <c r="C89" s="33"/>
      <c r="D89" s="33"/>
      <c r="E89" s="33"/>
      <c r="F89" s="33"/>
      <c r="G89" s="5" t="s">
        <v>140</v>
      </c>
      <c r="H89" s="6">
        <v>110000</v>
      </c>
      <c r="I89" s="174"/>
      <c r="J89" s="6">
        <v>110000</v>
      </c>
      <c r="K89" s="174"/>
      <c r="L89" s="6">
        <v>110000</v>
      </c>
    </row>
    <row r="90" spans="2:12" x14ac:dyDescent="0.25">
      <c r="B90" s="43">
        <f t="shared" si="20"/>
        <v>83</v>
      </c>
      <c r="C90" s="33"/>
      <c r="D90" s="33"/>
      <c r="E90" s="33"/>
      <c r="F90" s="33"/>
      <c r="G90" s="5" t="s">
        <v>142</v>
      </c>
      <c r="H90" s="6">
        <v>9000</v>
      </c>
      <c r="I90" s="174"/>
      <c r="J90" s="6">
        <v>9000</v>
      </c>
      <c r="K90" s="174"/>
      <c r="L90" s="6">
        <v>9000</v>
      </c>
    </row>
    <row r="91" spans="2:12" x14ac:dyDescent="0.25">
      <c r="B91" s="43">
        <f t="shared" si="20"/>
        <v>84</v>
      </c>
      <c r="C91" s="33"/>
      <c r="D91" s="33"/>
      <c r="E91" s="33"/>
      <c r="F91" s="33"/>
      <c r="G91" s="5" t="s">
        <v>144</v>
      </c>
      <c r="H91" s="6">
        <v>6600</v>
      </c>
      <c r="I91" s="174"/>
      <c r="J91" s="6">
        <v>6600</v>
      </c>
      <c r="K91" s="174"/>
      <c r="L91" s="6">
        <v>6600</v>
      </c>
    </row>
    <row r="92" spans="2:12" x14ac:dyDescent="0.25">
      <c r="B92" s="43">
        <f t="shared" si="20"/>
        <v>85</v>
      </c>
      <c r="C92" s="33"/>
      <c r="D92" s="33"/>
      <c r="E92" s="33"/>
      <c r="F92" s="33"/>
      <c r="G92" s="5" t="s">
        <v>146</v>
      </c>
      <c r="H92" s="6">
        <v>1000</v>
      </c>
      <c r="I92" s="174"/>
      <c r="J92" s="6">
        <v>1000</v>
      </c>
      <c r="K92" s="174"/>
      <c r="L92" s="6">
        <v>1000</v>
      </c>
    </row>
    <row r="93" spans="2:12" x14ac:dyDescent="0.25">
      <c r="B93" s="43">
        <f t="shared" si="20"/>
        <v>86</v>
      </c>
      <c r="C93" s="33"/>
      <c r="D93" s="33"/>
      <c r="E93" s="33"/>
      <c r="F93" s="33"/>
      <c r="G93" s="5" t="s">
        <v>148</v>
      </c>
      <c r="H93" s="6">
        <v>2000</v>
      </c>
      <c r="I93" s="174"/>
      <c r="J93" s="6">
        <v>2000</v>
      </c>
      <c r="K93" s="174"/>
      <c r="L93" s="6">
        <v>2000</v>
      </c>
    </row>
    <row r="94" spans="2:12" x14ac:dyDescent="0.25">
      <c r="B94" s="43">
        <f t="shared" si="20"/>
        <v>87</v>
      </c>
      <c r="C94" s="33"/>
      <c r="D94" s="33"/>
      <c r="E94" s="33"/>
      <c r="F94" s="33"/>
      <c r="G94" s="5" t="s">
        <v>150</v>
      </c>
      <c r="H94" s="6">
        <v>5800</v>
      </c>
      <c r="I94" s="174"/>
      <c r="J94" s="6">
        <v>5800</v>
      </c>
      <c r="K94" s="174"/>
      <c r="L94" s="6">
        <v>5800</v>
      </c>
    </row>
    <row r="95" spans="2:12" x14ac:dyDescent="0.25">
      <c r="B95" s="43">
        <f t="shared" si="20"/>
        <v>88</v>
      </c>
      <c r="C95" s="33"/>
      <c r="D95" s="33"/>
      <c r="E95" s="33"/>
      <c r="F95" s="33"/>
      <c r="G95" s="5" t="s">
        <v>152</v>
      </c>
      <c r="H95" s="6">
        <v>3600</v>
      </c>
      <c r="I95" s="174"/>
      <c r="J95" s="6">
        <v>3600</v>
      </c>
      <c r="K95" s="174"/>
      <c r="L95" s="6">
        <v>3600</v>
      </c>
    </row>
    <row r="96" spans="2:12" x14ac:dyDescent="0.25">
      <c r="B96" s="43">
        <f t="shared" si="20"/>
        <v>89</v>
      </c>
      <c r="C96" s="33"/>
      <c r="D96" s="33"/>
      <c r="E96" s="33"/>
      <c r="F96" s="33"/>
      <c r="G96" s="5" t="s">
        <v>154</v>
      </c>
      <c r="H96" s="6">
        <v>108000</v>
      </c>
      <c r="I96" s="174"/>
      <c r="J96" s="6">
        <v>108000</v>
      </c>
      <c r="K96" s="174"/>
      <c r="L96" s="6">
        <v>108000</v>
      </c>
    </row>
    <row r="97" spans="2:12" x14ac:dyDescent="0.25">
      <c r="B97" s="43">
        <f t="shared" si="20"/>
        <v>90</v>
      </c>
      <c r="C97" s="33"/>
      <c r="D97" s="33"/>
      <c r="E97" s="33"/>
      <c r="F97" s="33"/>
      <c r="G97" s="5" t="s">
        <v>156</v>
      </c>
      <c r="H97" s="6">
        <v>21300</v>
      </c>
      <c r="I97" s="174"/>
      <c r="J97" s="6">
        <v>21300</v>
      </c>
      <c r="K97" s="174"/>
      <c r="L97" s="6">
        <v>21300</v>
      </c>
    </row>
    <row r="98" spans="2:12" x14ac:dyDescent="0.25">
      <c r="B98" s="43">
        <f t="shared" si="20"/>
        <v>91</v>
      </c>
      <c r="C98" s="33"/>
      <c r="D98" s="33"/>
      <c r="E98" s="33"/>
      <c r="F98" s="33"/>
      <c r="G98" s="5" t="s">
        <v>158</v>
      </c>
      <c r="H98" s="6">
        <v>500</v>
      </c>
      <c r="I98" s="174"/>
      <c r="J98" s="6">
        <v>500</v>
      </c>
      <c r="K98" s="174"/>
      <c r="L98" s="6">
        <v>500</v>
      </c>
    </row>
    <row r="99" spans="2:12" x14ac:dyDescent="0.25">
      <c r="B99" s="43">
        <f t="shared" si="20"/>
        <v>92</v>
      </c>
      <c r="C99" s="33"/>
      <c r="D99" s="33"/>
      <c r="E99" s="33"/>
      <c r="F99" s="33"/>
      <c r="G99" s="5" t="s">
        <v>160</v>
      </c>
      <c r="H99" s="6">
        <v>45000</v>
      </c>
      <c r="I99" s="174"/>
      <c r="J99" s="6">
        <v>45000</v>
      </c>
      <c r="K99" s="174"/>
      <c r="L99" s="6">
        <v>45000</v>
      </c>
    </row>
    <row r="100" spans="2:12" x14ac:dyDescent="0.25">
      <c r="B100" s="43">
        <f t="shared" si="20"/>
        <v>93</v>
      </c>
      <c r="C100" s="33"/>
      <c r="D100" s="33"/>
      <c r="E100" s="33"/>
      <c r="F100" s="33"/>
      <c r="G100" s="5" t="s">
        <v>162</v>
      </c>
      <c r="H100" s="6">
        <v>53500</v>
      </c>
      <c r="I100" s="174"/>
      <c r="J100" s="6">
        <v>53500</v>
      </c>
      <c r="K100" s="174"/>
      <c r="L100" s="6">
        <v>53500</v>
      </c>
    </row>
    <row r="101" spans="2:12" x14ac:dyDescent="0.25">
      <c r="B101" s="43">
        <f t="shared" si="20"/>
        <v>94</v>
      </c>
      <c r="C101" s="33"/>
      <c r="D101" s="33"/>
      <c r="E101" s="33"/>
      <c r="F101" s="33"/>
      <c r="G101" s="5" t="s">
        <v>164</v>
      </c>
      <c r="H101" s="6">
        <v>92700</v>
      </c>
      <c r="I101" s="174"/>
      <c r="J101" s="6">
        <v>92700</v>
      </c>
      <c r="K101" s="174"/>
      <c r="L101" s="6">
        <v>92700</v>
      </c>
    </row>
    <row r="102" spans="2:12" x14ac:dyDescent="0.25">
      <c r="B102" s="43">
        <f t="shared" si="20"/>
        <v>95</v>
      </c>
      <c r="C102" s="33"/>
      <c r="D102" s="33"/>
      <c r="E102" s="33"/>
      <c r="F102" s="33"/>
      <c r="G102" s="5" t="s">
        <v>166</v>
      </c>
      <c r="H102" s="6">
        <v>400</v>
      </c>
      <c r="I102" s="174"/>
      <c r="J102" s="6">
        <v>400</v>
      </c>
      <c r="K102" s="174"/>
      <c r="L102" s="6">
        <v>400</v>
      </c>
    </row>
    <row r="103" spans="2:12" x14ac:dyDescent="0.25">
      <c r="B103" s="43">
        <f t="shared" si="20"/>
        <v>96</v>
      </c>
      <c r="C103" s="33"/>
      <c r="D103" s="33"/>
      <c r="E103" s="33"/>
      <c r="F103" s="33"/>
      <c r="G103" s="5" t="s">
        <v>168</v>
      </c>
      <c r="H103" s="6">
        <v>2500</v>
      </c>
      <c r="I103" s="174"/>
      <c r="J103" s="6">
        <v>2500</v>
      </c>
      <c r="K103" s="174"/>
      <c r="L103" s="6">
        <v>2500</v>
      </c>
    </row>
    <row r="104" spans="2:12" x14ac:dyDescent="0.25">
      <c r="B104" s="43">
        <f t="shared" si="20"/>
        <v>97</v>
      </c>
      <c r="C104" s="33"/>
      <c r="D104" s="33"/>
      <c r="E104" s="33"/>
      <c r="F104" s="33"/>
      <c r="G104" s="5" t="s">
        <v>170</v>
      </c>
      <c r="H104" s="6">
        <v>1900</v>
      </c>
      <c r="I104" s="174"/>
      <c r="J104" s="6">
        <v>1900</v>
      </c>
      <c r="K104" s="174"/>
      <c r="L104" s="6">
        <v>1900</v>
      </c>
    </row>
    <row r="105" spans="2:12" x14ac:dyDescent="0.25">
      <c r="B105" s="43">
        <f t="shared" si="20"/>
        <v>98</v>
      </c>
      <c r="C105" s="33"/>
      <c r="D105" s="33"/>
      <c r="E105" s="33"/>
      <c r="F105" s="33"/>
      <c r="G105" s="5" t="s">
        <v>172</v>
      </c>
      <c r="H105" s="6">
        <v>4900</v>
      </c>
      <c r="I105" s="174"/>
      <c r="J105" s="6">
        <v>4900</v>
      </c>
      <c r="K105" s="174"/>
      <c r="L105" s="6">
        <v>4900</v>
      </c>
    </row>
    <row r="106" spans="2:12" x14ac:dyDescent="0.25">
      <c r="B106" s="43">
        <f t="shared" si="20"/>
        <v>99</v>
      </c>
      <c r="C106" s="33"/>
      <c r="D106" s="33"/>
      <c r="E106" s="33"/>
      <c r="F106" s="33"/>
      <c r="G106" s="5" t="s">
        <v>174</v>
      </c>
      <c r="H106" s="6">
        <v>104000</v>
      </c>
      <c r="I106" s="174"/>
      <c r="J106" s="6">
        <v>104000</v>
      </c>
      <c r="K106" s="174"/>
      <c r="L106" s="6">
        <v>104000</v>
      </c>
    </row>
    <row r="107" spans="2:12" x14ac:dyDescent="0.25">
      <c r="B107" s="43">
        <f t="shared" si="20"/>
        <v>100</v>
      </c>
      <c r="C107" s="33"/>
      <c r="D107" s="33"/>
      <c r="E107" s="33"/>
      <c r="F107" s="33"/>
      <c r="G107" s="5" t="s">
        <v>176</v>
      </c>
      <c r="H107" s="6">
        <v>10500</v>
      </c>
      <c r="I107" s="174"/>
      <c r="J107" s="6">
        <v>10500</v>
      </c>
      <c r="K107" s="174"/>
      <c r="L107" s="6">
        <v>10500</v>
      </c>
    </row>
    <row r="108" spans="2:12" x14ac:dyDescent="0.25">
      <c r="B108" s="43">
        <f t="shared" si="20"/>
        <v>101</v>
      </c>
      <c r="C108" s="33"/>
      <c r="D108" s="33"/>
      <c r="E108" s="33"/>
      <c r="F108" s="33"/>
      <c r="G108" s="5" t="s">
        <v>178</v>
      </c>
      <c r="H108" s="6">
        <v>27000</v>
      </c>
      <c r="I108" s="174"/>
      <c r="J108" s="6">
        <v>27000</v>
      </c>
      <c r="K108" s="174"/>
      <c r="L108" s="6">
        <v>27000</v>
      </c>
    </row>
    <row r="109" spans="2:12" x14ac:dyDescent="0.25">
      <c r="B109" s="43">
        <f t="shared" si="20"/>
        <v>102</v>
      </c>
      <c r="C109" s="33"/>
      <c r="D109" s="33"/>
      <c r="E109" s="33"/>
      <c r="F109" s="33"/>
      <c r="G109" s="5" t="s">
        <v>180</v>
      </c>
      <c r="H109" s="6">
        <v>83000</v>
      </c>
      <c r="I109" s="174"/>
      <c r="J109" s="6">
        <v>83000</v>
      </c>
      <c r="K109" s="174"/>
      <c r="L109" s="6">
        <v>83000</v>
      </c>
    </row>
    <row r="110" spans="2:12" x14ac:dyDescent="0.25">
      <c r="B110" s="43">
        <f t="shared" si="20"/>
        <v>103</v>
      </c>
      <c r="C110" s="33"/>
      <c r="D110" s="33"/>
      <c r="E110" s="33"/>
      <c r="F110" s="33"/>
      <c r="G110" s="5" t="s">
        <v>182</v>
      </c>
      <c r="H110" s="6">
        <v>5500</v>
      </c>
      <c r="I110" s="174"/>
      <c r="J110" s="6">
        <v>5500</v>
      </c>
      <c r="K110" s="174"/>
      <c r="L110" s="6">
        <v>5500</v>
      </c>
    </row>
    <row r="111" spans="2:12" ht="15.75" thickBot="1" x14ac:dyDescent="0.3">
      <c r="B111" s="43">
        <f t="shared" si="20"/>
        <v>104</v>
      </c>
      <c r="C111" s="33"/>
      <c r="D111" s="33"/>
      <c r="E111" s="33"/>
      <c r="F111" s="33"/>
      <c r="G111" s="5" t="s">
        <v>706</v>
      </c>
      <c r="H111" s="6">
        <v>7300</v>
      </c>
      <c r="I111" s="174"/>
      <c r="J111" s="6">
        <v>7300</v>
      </c>
      <c r="K111" s="174"/>
      <c r="L111" s="6">
        <v>7300</v>
      </c>
    </row>
    <row r="112" spans="2:12" ht="15.75" thickBot="1" x14ac:dyDescent="0.3">
      <c r="B112" s="43">
        <f t="shared" si="20"/>
        <v>105</v>
      </c>
      <c r="C112" s="32">
        <v>6</v>
      </c>
      <c r="D112" s="32"/>
      <c r="E112" s="32"/>
      <c r="F112" s="32"/>
      <c r="G112" s="3" t="s">
        <v>184</v>
      </c>
      <c r="H112" s="4">
        <v>24800</v>
      </c>
      <c r="I112" s="173"/>
      <c r="J112" s="4">
        <v>24800</v>
      </c>
      <c r="K112" s="173"/>
      <c r="L112" s="4">
        <v>24800</v>
      </c>
    </row>
    <row r="113" spans="2:12" ht="15.75" thickBot="1" x14ac:dyDescent="0.3">
      <c r="B113" s="43">
        <f t="shared" si="20"/>
        <v>106</v>
      </c>
      <c r="C113" s="32">
        <v>7</v>
      </c>
      <c r="D113" s="32"/>
      <c r="E113" s="32"/>
      <c r="F113" s="32"/>
      <c r="G113" s="3" t="s">
        <v>185</v>
      </c>
      <c r="H113" s="4">
        <v>25000</v>
      </c>
      <c r="I113" s="173"/>
      <c r="J113" s="4">
        <v>25000</v>
      </c>
      <c r="K113" s="173"/>
      <c r="L113" s="4">
        <v>25000</v>
      </c>
    </row>
    <row r="114" spans="2:12" ht="15.75" thickBot="1" x14ac:dyDescent="0.3">
      <c r="B114" s="43">
        <f t="shared" si="20"/>
        <v>107</v>
      </c>
      <c r="C114" s="32">
        <v>8</v>
      </c>
      <c r="D114" s="32"/>
      <c r="E114" s="32"/>
      <c r="F114" s="32"/>
      <c r="G114" s="3" t="s">
        <v>186</v>
      </c>
      <c r="H114" s="4">
        <v>41700</v>
      </c>
      <c r="I114" s="173"/>
      <c r="J114" s="4">
        <v>41700</v>
      </c>
      <c r="K114" s="173"/>
      <c r="L114" s="4">
        <v>41700</v>
      </c>
    </row>
    <row r="115" spans="2:12" ht="15.75" thickBot="1" x14ac:dyDescent="0.3">
      <c r="B115" s="43">
        <f t="shared" si="20"/>
        <v>108</v>
      </c>
      <c r="C115" s="32">
        <v>9</v>
      </c>
      <c r="D115" s="32"/>
      <c r="E115" s="32"/>
      <c r="F115" s="32"/>
      <c r="G115" s="3" t="s">
        <v>187</v>
      </c>
      <c r="H115" s="4">
        <v>17000</v>
      </c>
      <c r="I115" s="173"/>
      <c r="J115" s="4">
        <v>17000</v>
      </c>
      <c r="K115" s="173"/>
      <c r="L115" s="4">
        <v>17000</v>
      </c>
    </row>
    <row r="116" spans="2:12" ht="15.75" thickBot="1" x14ac:dyDescent="0.3">
      <c r="B116" s="43">
        <f t="shared" si="20"/>
        <v>109</v>
      </c>
      <c r="C116" s="32">
        <v>10</v>
      </c>
      <c r="D116" s="32"/>
      <c r="E116" s="32"/>
      <c r="F116" s="32"/>
      <c r="G116" s="3" t="s">
        <v>188</v>
      </c>
      <c r="H116" s="4">
        <v>21200</v>
      </c>
      <c r="I116" s="173"/>
      <c r="J116" s="4">
        <v>21200</v>
      </c>
      <c r="K116" s="173"/>
      <c r="L116" s="4">
        <v>21200</v>
      </c>
    </row>
    <row r="117" spans="2:12" ht="15.75" thickBot="1" x14ac:dyDescent="0.3">
      <c r="B117" s="43">
        <f t="shared" si="20"/>
        <v>110</v>
      </c>
      <c r="C117" s="32">
        <v>11</v>
      </c>
      <c r="D117" s="32"/>
      <c r="E117" s="32"/>
      <c r="F117" s="32"/>
      <c r="G117" s="3" t="s">
        <v>189</v>
      </c>
      <c r="H117" s="4">
        <v>62700</v>
      </c>
      <c r="I117" s="173"/>
      <c r="J117" s="4">
        <v>62700</v>
      </c>
      <c r="K117" s="173"/>
      <c r="L117" s="4">
        <v>62700</v>
      </c>
    </row>
    <row r="118" spans="2:12" ht="15.75" thickBot="1" x14ac:dyDescent="0.3">
      <c r="B118" s="43">
        <f t="shared" si="20"/>
        <v>111</v>
      </c>
      <c r="C118" s="32">
        <v>12</v>
      </c>
      <c r="D118" s="32"/>
      <c r="E118" s="32"/>
      <c r="F118" s="32"/>
      <c r="G118" s="3" t="s">
        <v>190</v>
      </c>
      <c r="H118" s="4">
        <v>22000</v>
      </c>
      <c r="I118" s="173"/>
      <c r="J118" s="4">
        <v>22000</v>
      </c>
      <c r="K118" s="173"/>
      <c r="L118" s="4">
        <v>22000</v>
      </c>
    </row>
    <row r="119" spans="2:12" ht="15.75" thickBot="1" x14ac:dyDescent="0.3">
      <c r="B119" s="43">
        <f t="shared" si="20"/>
        <v>112</v>
      </c>
      <c r="C119" s="32">
        <v>13</v>
      </c>
      <c r="D119" s="32"/>
      <c r="E119" s="32"/>
      <c r="F119" s="32"/>
      <c r="G119" s="3" t="s">
        <v>191</v>
      </c>
      <c r="H119" s="4">
        <v>19000</v>
      </c>
      <c r="I119" s="173"/>
      <c r="J119" s="4">
        <v>19000</v>
      </c>
      <c r="K119" s="173"/>
      <c r="L119" s="4">
        <v>19000</v>
      </c>
    </row>
    <row r="120" spans="2:12" ht="15.75" thickBot="1" x14ac:dyDescent="0.3">
      <c r="B120" s="43">
        <f t="shared" si="20"/>
        <v>113</v>
      </c>
      <c r="C120" s="32">
        <v>14</v>
      </c>
      <c r="D120" s="32"/>
      <c r="E120" s="32"/>
      <c r="F120" s="32"/>
      <c r="G120" s="3" t="s">
        <v>192</v>
      </c>
      <c r="H120" s="4">
        <v>91100</v>
      </c>
      <c r="I120" s="173"/>
      <c r="J120" s="4">
        <v>91100</v>
      </c>
      <c r="K120" s="173"/>
      <c r="L120" s="4">
        <v>91100</v>
      </c>
    </row>
    <row r="121" spans="2:12" ht="16.5" thickBot="1" x14ac:dyDescent="0.3">
      <c r="B121" s="43">
        <f t="shared" si="20"/>
        <v>114</v>
      </c>
      <c r="C121" s="31">
        <v>300</v>
      </c>
      <c r="D121" s="31"/>
      <c r="E121" s="31"/>
      <c r="F121" s="31"/>
      <c r="G121" s="1" t="s">
        <v>193</v>
      </c>
      <c r="H121" s="2">
        <f>H122+H138</f>
        <v>8464465</v>
      </c>
      <c r="I121" s="172"/>
      <c r="J121" s="2">
        <f t="shared" ref="J121:L121" si="21">J122+J138</f>
        <v>8470500</v>
      </c>
      <c r="K121" s="172"/>
      <c r="L121" s="2">
        <f t="shared" si="21"/>
        <v>8673500</v>
      </c>
    </row>
    <row r="122" spans="2:12" ht="15.75" thickBot="1" x14ac:dyDescent="0.3">
      <c r="B122" s="43">
        <f t="shared" si="20"/>
        <v>115</v>
      </c>
      <c r="C122" s="32"/>
      <c r="D122" s="32"/>
      <c r="E122" s="32"/>
      <c r="F122" s="32"/>
      <c r="G122" s="3" t="s">
        <v>12</v>
      </c>
      <c r="H122" s="4">
        <f>H123</f>
        <v>8135965</v>
      </c>
      <c r="I122" s="173"/>
      <c r="J122" s="4">
        <f t="shared" ref="J122:L123" si="22">J123</f>
        <v>8370500</v>
      </c>
      <c r="K122" s="173"/>
      <c r="L122" s="4">
        <f t="shared" si="22"/>
        <v>8673500</v>
      </c>
    </row>
    <row r="123" spans="2:12" x14ac:dyDescent="0.25">
      <c r="B123" s="43">
        <f t="shared" si="20"/>
        <v>116</v>
      </c>
      <c r="C123" s="33">
        <v>310</v>
      </c>
      <c r="D123" s="33"/>
      <c r="E123" s="33"/>
      <c r="F123" s="33"/>
      <c r="G123" s="5" t="s">
        <v>194</v>
      </c>
      <c r="H123" s="6">
        <f>H124</f>
        <v>8135965</v>
      </c>
      <c r="I123" s="174"/>
      <c r="J123" s="6">
        <f t="shared" si="22"/>
        <v>8370500</v>
      </c>
      <c r="K123" s="174"/>
      <c r="L123" s="6">
        <f t="shared" si="22"/>
        <v>8673500</v>
      </c>
    </row>
    <row r="124" spans="2:12" x14ac:dyDescent="0.25">
      <c r="B124" s="43">
        <f t="shared" si="20"/>
        <v>117</v>
      </c>
      <c r="C124" s="34"/>
      <c r="D124" s="34">
        <v>312</v>
      </c>
      <c r="E124" s="34"/>
      <c r="F124" s="34"/>
      <c r="G124" s="7" t="s">
        <v>197</v>
      </c>
      <c r="H124" s="8">
        <f>H125+H128</f>
        <v>8135965</v>
      </c>
      <c r="I124" s="175"/>
      <c r="J124" s="8">
        <f>J125+J128</f>
        <v>8370500</v>
      </c>
      <c r="K124" s="175"/>
      <c r="L124" s="8">
        <f>L125+L128</f>
        <v>8673500</v>
      </c>
    </row>
    <row r="125" spans="2:12" x14ac:dyDescent="0.25">
      <c r="B125" s="43">
        <f t="shared" si="20"/>
        <v>118</v>
      </c>
      <c r="C125" s="35"/>
      <c r="D125" s="35"/>
      <c r="E125" s="35">
        <v>312001</v>
      </c>
      <c r="F125" s="35"/>
      <c r="G125" s="9" t="s">
        <v>198</v>
      </c>
      <c r="H125" s="10">
        <f>SUM(H126:H127)</f>
        <v>845300</v>
      </c>
      <c r="I125" s="176"/>
      <c r="J125" s="10">
        <f>SUM(J126:J127)</f>
        <v>845300</v>
      </c>
      <c r="K125" s="176"/>
      <c r="L125" s="10">
        <f>SUM(L126:L127)</f>
        <v>845300</v>
      </c>
    </row>
    <row r="126" spans="2:12" x14ac:dyDescent="0.25">
      <c r="B126" s="43">
        <f t="shared" si="20"/>
        <v>119</v>
      </c>
      <c r="C126" s="36"/>
      <c r="D126" s="36"/>
      <c r="E126" s="36"/>
      <c r="F126" s="36"/>
      <c r="G126" s="12" t="s">
        <v>201</v>
      </c>
      <c r="H126" s="13">
        <v>833300</v>
      </c>
      <c r="I126" s="177"/>
      <c r="J126" s="13">
        <v>833300</v>
      </c>
      <c r="K126" s="177"/>
      <c r="L126" s="13">
        <v>833300</v>
      </c>
    </row>
    <row r="127" spans="2:12" x14ac:dyDescent="0.25">
      <c r="B127" s="43">
        <f t="shared" si="20"/>
        <v>120</v>
      </c>
      <c r="C127" s="36"/>
      <c r="D127" s="36"/>
      <c r="E127" s="36"/>
      <c r="F127" s="36"/>
      <c r="G127" s="12" t="s">
        <v>215</v>
      </c>
      <c r="H127" s="13">
        <v>12000</v>
      </c>
      <c r="I127" s="177"/>
      <c r="J127" s="13">
        <v>12000</v>
      </c>
      <c r="K127" s="177"/>
      <c r="L127" s="13">
        <v>12000</v>
      </c>
    </row>
    <row r="128" spans="2:12" x14ac:dyDescent="0.25">
      <c r="B128" s="43">
        <f t="shared" si="20"/>
        <v>121</v>
      </c>
      <c r="C128" s="35"/>
      <c r="D128" s="35"/>
      <c r="E128" s="35">
        <v>312012</v>
      </c>
      <c r="F128" s="35"/>
      <c r="G128" s="9" t="s">
        <v>242</v>
      </c>
      <c r="H128" s="10">
        <f>SUM(H129:H137)</f>
        <v>7290665</v>
      </c>
      <c r="I128" s="176"/>
      <c r="J128" s="10">
        <f>SUM(J129:J137)</f>
        <v>7525200</v>
      </c>
      <c r="K128" s="176"/>
      <c r="L128" s="10">
        <f>SUM(L129:L137)</f>
        <v>7828200</v>
      </c>
    </row>
    <row r="129" spans="2:14" x14ac:dyDescent="0.25">
      <c r="B129" s="43">
        <f t="shared" si="20"/>
        <v>122</v>
      </c>
      <c r="C129" s="36"/>
      <c r="D129" s="36"/>
      <c r="E129" s="36"/>
      <c r="F129" s="36"/>
      <c r="G129" s="12" t="s">
        <v>222</v>
      </c>
      <c r="H129" s="13">
        <f>6958100-290</f>
        <v>6957810</v>
      </c>
      <c r="I129" s="177"/>
      <c r="J129" s="13">
        <v>7200000</v>
      </c>
      <c r="K129" s="177"/>
      <c r="L129" s="13">
        <v>7500000</v>
      </c>
      <c r="M129" s="11"/>
      <c r="N129" s="11"/>
    </row>
    <row r="130" spans="2:14" x14ac:dyDescent="0.25">
      <c r="B130" s="43">
        <f t="shared" si="20"/>
        <v>123</v>
      </c>
      <c r="C130" s="36"/>
      <c r="D130" s="36"/>
      <c r="E130" s="36"/>
      <c r="F130" s="36"/>
      <c r="G130" s="12" t="s">
        <v>245</v>
      </c>
      <c r="H130" s="13">
        <f>83700-45</f>
        <v>83655</v>
      </c>
      <c r="I130" s="177"/>
      <c r="J130" s="13">
        <v>85000</v>
      </c>
      <c r="K130" s="177"/>
      <c r="L130" s="13">
        <v>86000</v>
      </c>
      <c r="M130" s="11"/>
      <c r="N130" s="11"/>
    </row>
    <row r="131" spans="2:14" x14ac:dyDescent="0.25">
      <c r="B131" s="43">
        <f t="shared" si="20"/>
        <v>124</v>
      </c>
      <c r="C131" s="36"/>
      <c r="D131" s="36"/>
      <c r="E131" s="36"/>
      <c r="F131" s="36"/>
      <c r="G131" s="12" t="s">
        <v>247</v>
      </c>
      <c r="H131" s="13">
        <v>99000</v>
      </c>
      <c r="I131" s="177"/>
      <c r="J131" s="13">
        <v>100000</v>
      </c>
      <c r="K131" s="177"/>
      <c r="L131" s="13">
        <v>101000</v>
      </c>
      <c r="M131" s="11"/>
      <c r="N131" s="11"/>
    </row>
    <row r="132" spans="2:14" x14ac:dyDescent="0.25">
      <c r="B132" s="43">
        <f t="shared" si="20"/>
        <v>125</v>
      </c>
      <c r="C132" s="36"/>
      <c r="D132" s="36"/>
      <c r="E132" s="36"/>
      <c r="F132" s="36"/>
      <c r="G132" s="12" t="s">
        <v>249</v>
      </c>
      <c r="H132" s="13">
        <v>52000</v>
      </c>
      <c r="I132" s="177"/>
      <c r="J132" s="13">
        <v>52000</v>
      </c>
      <c r="K132" s="177"/>
      <c r="L132" s="13">
        <v>52000</v>
      </c>
      <c r="M132" s="11"/>
      <c r="N132" s="11"/>
    </row>
    <row r="133" spans="2:14" x14ac:dyDescent="0.25">
      <c r="B133" s="43">
        <f t="shared" si="20"/>
        <v>126</v>
      </c>
      <c r="C133" s="36"/>
      <c r="D133" s="36"/>
      <c r="E133" s="36"/>
      <c r="F133" s="36"/>
      <c r="G133" s="12" t="s">
        <v>251</v>
      </c>
      <c r="H133" s="13">
        <v>38900</v>
      </c>
      <c r="I133" s="177"/>
      <c r="J133" s="13">
        <v>40000</v>
      </c>
      <c r="K133" s="177"/>
      <c r="L133" s="13">
        <v>41000</v>
      </c>
      <c r="M133" s="11"/>
      <c r="N133" s="11"/>
    </row>
    <row r="134" spans="2:14" x14ac:dyDescent="0.25">
      <c r="B134" s="43">
        <f t="shared" si="20"/>
        <v>127</v>
      </c>
      <c r="C134" s="36"/>
      <c r="D134" s="36"/>
      <c r="E134" s="36"/>
      <c r="F134" s="36"/>
      <c r="G134" s="12" t="s">
        <v>253</v>
      </c>
      <c r="H134" s="13">
        <v>18500</v>
      </c>
      <c r="I134" s="177"/>
      <c r="J134" s="13">
        <v>18500</v>
      </c>
      <c r="K134" s="177"/>
      <c r="L134" s="13">
        <v>18500</v>
      </c>
      <c r="M134" s="11"/>
      <c r="N134" s="11"/>
    </row>
    <row r="135" spans="2:14" x14ac:dyDescent="0.25">
      <c r="B135" s="43">
        <f t="shared" si="20"/>
        <v>128</v>
      </c>
      <c r="C135" s="36"/>
      <c r="D135" s="36"/>
      <c r="E135" s="36"/>
      <c r="F135" s="36"/>
      <c r="G135" s="12" t="s">
        <v>255</v>
      </c>
      <c r="H135" s="13">
        <v>24500</v>
      </c>
      <c r="I135" s="177"/>
      <c r="J135" s="13">
        <v>24500</v>
      </c>
      <c r="K135" s="177"/>
      <c r="L135" s="13">
        <v>24500</v>
      </c>
      <c r="M135" s="11"/>
      <c r="N135" s="11"/>
    </row>
    <row r="136" spans="2:14" x14ac:dyDescent="0.25">
      <c r="B136" s="43">
        <f t="shared" si="20"/>
        <v>129</v>
      </c>
      <c r="C136" s="36"/>
      <c r="D136" s="36"/>
      <c r="E136" s="36"/>
      <c r="F136" s="36"/>
      <c r="G136" s="12" t="s">
        <v>257</v>
      </c>
      <c r="H136" s="13">
        <v>5200</v>
      </c>
      <c r="I136" s="177"/>
      <c r="J136" s="13">
        <v>5200</v>
      </c>
      <c r="K136" s="177"/>
      <c r="L136" s="13">
        <v>5200</v>
      </c>
      <c r="M136" s="11"/>
      <c r="N136" s="11"/>
    </row>
    <row r="137" spans="2:14" ht="15.75" thickBot="1" x14ac:dyDescent="0.3">
      <c r="B137" s="43">
        <f t="shared" si="20"/>
        <v>130</v>
      </c>
      <c r="C137" s="36"/>
      <c r="D137" s="36"/>
      <c r="E137" s="36"/>
      <c r="F137" s="36"/>
      <c r="G137" s="12" t="s">
        <v>262</v>
      </c>
      <c r="H137" s="13">
        <v>11100</v>
      </c>
      <c r="I137" s="177"/>
      <c r="J137" s="13">
        <v>0</v>
      </c>
      <c r="K137" s="177"/>
      <c r="L137" s="13">
        <v>0</v>
      </c>
    </row>
    <row r="138" spans="2:14" ht="15.75" thickBot="1" x14ac:dyDescent="0.3">
      <c r="B138" s="43">
        <f t="shared" si="20"/>
        <v>131</v>
      </c>
      <c r="C138" s="32">
        <v>5</v>
      </c>
      <c r="D138" s="32"/>
      <c r="E138" s="32"/>
      <c r="F138" s="32"/>
      <c r="G138" s="3" t="s">
        <v>138</v>
      </c>
      <c r="H138" s="4">
        <v>328500</v>
      </c>
      <c r="I138" s="173"/>
      <c r="J138" s="4">
        <v>100000</v>
      </c>
      <c r="K138" s="173"/>
      <c r="L138" s="4">
        <v>0</v>
      </c>
    </row>
    <row r="139" spans="2:14" x14ac:dyDescent="0.25">
      <c r="B139" s="43">
        <f t="shared" si="20"/>
        <v>132</v>
      </c>
      <c r="C139" s="39"/>
      <c r="D139" s="39"/>
      <c r="E139" s="39"/>
      <c r="F139" s="39"/>
      <c r="G139" s="20" t="s">
        <v>267</v>
      </c>
      <c r="H139" s="21">
        <f>H121+H24+H8</f>
        <v>38608366</v>
      </c>
      <c r="I139" s="178"/>
      <c r="J139" s="21">
        <f>J121+J24+J8</f>
        <v>39379600</v>
      </c>
      <c r="K139" s="178"/>
      <c r="L139" s="21">
        <f>L121+L24+L8</f>
        <v>40132600</v>
      </c>
    </row>
    <row r="141" spans="2:14" ht="12" customHeight="1" x14ac:dyDescent="0.25">
      <c r="B141" s="262" t="s">
        <v>268</v>
      </c>
      <c r="C141" s="263"/>
      <c r="D141" s="263"/>
      <c r="E141" s="263"/>
      <c r="F141" s="263"/>
      <c r="G141" s="264"/>
      <c r="H141" s="268" t="s">
        <v>934</v>
      </c>
      <c r="I141" s="171"/>
      <c r="J141" s="268" t="s">
        <v>938</v>
      </c>
      <c r="K141" s="171"/>
      <c r="L141" s="268" t="s">
        <v>939</v>
      </c>
    </row>
    <row r="142" spans="2:14" ht="9" customHeight="1" x14ac:dyDescent="0.25">
      <c r="B142" s="265"/>
      <c r="C142" s="266"/>
      <c r="D142" s="266"/>
      <c r="E142" s="266"/>
      <c r="F142" s="266"/>
      <c r="G142" s="267"/>
      <c r="H142" s="269"/>
      <c r="I142" s="171"/>
      <c r="J142" s="269"/>
      <c r="K142" s="171"/>
      <c r="L142" s="269"/>
    </row>
    <row r="143" spans="2:14" x14ac:dyDescent="0.25">
      <c r="B143" s="254" t="s">
        <v>5</v>
      </c>
      <c r="C143" s="274" t="s">
        <v>6</v>
      </c>
      <c r="D143" s="276" t="s">
        <v>7</v>
      </c>
      <c r="E143" s="276" t="s">
        <v>8</v>
      </c>
      <c r="F143" s="276" t="s">
        <v>9</v>
      </c>
      <c r="G143" s="260" t="s">
        <v>10</v>
      </c>
      <c r="H143" s="269"/>
      <c r="I143" s="171"/>
      <c r="J143" s="269"/>
      <c r="K143" s="171"/>
      <c r="L143" s="269"/>
    </row>
    <row r="144" spans="2:14" ht="8.25" customHeight="1" thickBot="1" x14ac:dyDescent="0.3">
      <c r="B144" s="255"/>
      <c r="C144" s="275"/>
      <c r="D144" s="277"/>
      <c r="E144" s="277"/>
      <c r="F144" s="277"/>
      <c r="G144" s="261"/>
      <c r="H144" s="270"/>
      <c r="I144" s="171"/>
      <c r="J144" s="270"/>
      <c r="K144" s="171"/>
      <c r="L144" s="270"/>
    </row>
    <row r="145" spans="2:12" ht="17.25" thickTop="1" thickBot="1" x14ac:dyDescent="0.3">
      <c r="B145" s="116">
        <v>1</v>
      </c>
      <c r="C145" s="31">
        <v>200</v>
      </c>
      <c r="D145" s="31"/>
      <c r="E145" s="31"/>
      <c r="F145" s="31"/>
      <c r="G145" s="1" t="s">
        <v>27</v>
      </c>
      <c r="H145" s="2">
        <f>H146</f>
        <v>200000</v>
      </c>
      <c r="I145" s="172"/>
      <c r="J145" s="2">
        <f t="shared" ref="J145:L147" si="23">J146</f>
        <v>0</v>
      </c>
      <c r="K145" s="172"/>
      <c r="L145" s="2">
        <f t="shared" si="23"/>
        <v>0</v>
      </c>
    </row>
    <row r="146" spans="2:12" ht="15.75" thickBot="1" x14ac:dyDescent="0.3">
      <c r="B146" s="117">
        <v>2</v>
      </c>
      <c r="C146" s="32"/>
      <c r="D146" s="32"/>
      <c r="E146" s="32"/>
      <c r="F146" s="32"/>
      <c r="G146" s="3" t="s">
        <v>12</v>
      </c>
      <c r="H146" s="4">
        <f>H147</f>
        <v>200000</v>
      </c>
      <c r="I146" s="173"/>
      <c r="J146" s="4">
        <f t="shared" si="23"/>
        <v>0</v>
      </c>
      <c r="K146" s="173"/>
      <c r="L146" s="4">
        <f t="shared" si="23"/>
        <v>0</v>
      </c>
    </row>
    <row r="147" spans="2:12" x14ac:dyDescent="0.25">
      <c r="B147" s="43">
        <v>3</v>
      </c>
      <c r="C147" s="33">
        <v>230</v>
      </c>
      <c r="D147" s="33"/>
      <c r="E147" s="33"/>
      <c r="F147" s="33"/>
      <c r="G147" s="5" t="s">
        <v>268</v>
      </c>
      <c r="H147" s="6">
        <f>H148</f>
        <v>200000</v>
      </c>
      <c r="I147" s="6">
        <f t="shared" ref="I147" si="24">I148</f>
        <v>0</v>
      </c>
      <c r="J147" s="6">
        <f t="shared" si="23"/>
        <v>0</v>
      </c>
      <c r="K147" s="174"/>
      <c r="L147" s="6">
        <f t="shared" si="23"/>
        <v>0</v>
      </c>
    </row>
    <row r="148" spans="2:12" x14ac:dyDescent="0.25">
      <c r="B148" s="43">
        <v>4</v>
      </c>
      <c r="C148" s="34"/>
      <c r="D148" s="34">
        <v>231</v>
      </c>
      <c r="E148" s="34"/>
      <c r="F148" s="34"/>
      <c r="G148" s="7" t="s">
        <v>269</v>
      </c>
      <c r="H148" s="8">
        <f>H149</f>
        <v>200000</v>
      </c>
      <c r="I148" s="175"/>
      <c r="J148" s="8">
        <f t="shared" ref="J148:L148" si="25">J149</f>
        <v>0</v>
      </c>
      <c r="K148" s="175"/>
      <c r="L148" s="8">
        <f t="shared" si="25"/>
        <v>0</v>
      </c>
    </row>
    <row r="149" spans="2:12" x14ac:dyDescent="0.25">
      <c r="B149" s="43">
        <v>5</v>
      </c>
      <c r="C149" s="35"/>
      <c r="D149" s="35"/>
      <c r="E149" s="35">
        <v>231</v>
      </c>
      <c r="F149" s="35"/>
      <c r="G149" s="9" t="s">
        <v>269</v>
      </c>
      <c r="H149" s="10">
        <v>200000</v>
      </c>
      <c r="I149" s="176"/>
      <c r="J149" s="10">
        <v>0</v>
      </c>
      <c r="K149" s="176"/>
      <c r="L149" s="10">
        <v>0</v>
      </c>
    </row>
    <row r="150" spans="2:12" x14ac:dyDescent="0.25">
      <c r="B150" s="118"/>
      <c r="C150" s="39"/>
      <c r="D150" s="39"/>
      <c r="E150" s="39"/>
      <c r="F150" s="39"/>
      <c r="G150" s="20" t="s">
        <v>282</v>
      </c>
      <c r="H150" s="21">
        <f>H145</f>
        <v>200000</v>
      </c>
      <c r="I150" s="21">
        <f t="shared" ref="I150:L150" si="26">I145</f>
        <v>0</v>
      </c>
      <c r="J150" s="21">
        <f t="shared" si="26"/>
        <v>0</v>
      </c>
      <c r="K150" s="178"/>
      <c r="L150" s="21">
        <f t="shared" si="26"/>
        <v>0</v>
      </c>
    </row>
    <row r="152" spans="2:12" ht="12.75" customHeight="1" x14ac:dyDescent="0.25">
      <c r="B152" s="262" t="s">
        <v>283</v>
      </c>
      <c r="C152" s="263"/>
      <c r="D152" s="263"/>
      <c r="E152" s="263"/>
      <c r="F152" s="263"/>
      <c r="G152" s="264"/>
      <c r="H152" s="268" t="s">
        <v>934</v>
      </c>
      <c r="I152" s="171"/>
      <c r="J152" s="268" t="s">
        <v>938</v>
      </c>
      <c r="K152" s="171"/>
      <c r="L152" s="268" t="s">
        <v>939</v>
      </c>
    </row>
    <row r="153" spans="2:12" ht="9.75" customHeight="1" x14ac:dyDescent="0.25">
      <c r="B153" s="265"/>
      <c r="C153" s="266"/>
      <c r="D153" s="266"/>
      <c r="E153" s="266"/>
      <c r="F153" s="266"/>
      <c r="G153" s="267"/>
      <c r="H153" s="269"/>
      <c r="I153" s="171"/>
      <c r="J153" s="269"/>
      <c r="K153" s="171"/>
      <c r="L153" s="269"/>
    </row>
    <row r="154" spans="2:12" x14ac:dyDescent="0.25">
      <c r="B154" s="254" t="s">
        <v>5</v>
      </c>
      <c r="C154" s="274" t="s">
        <v>6</v>
      </c>
      <c r="D154" s="276" t="s">
        <v>7</v>
      </c>
      <c r="E154" s="276" t="s">
        <v>8</v>
      </c>
      <c r="F154" s="276" t="s">
        <v>9</v>
      </c>
      <c r="G154" s="260" t="s">
        <v>10</v>
      </c>
      <c r="H154" s="269"/>
      <c r="I154" s="171"/>
      <c r="J154" s="269"/>
      <c r="K154" s="171"/>
      <c r="L154" s="269"/>
    </row>
    <row r="155" spans="2:12" ht="9.75" customHeight="1" thickBot="1" x14ac:dyDescent="0.3">
      <c r="B155" s="255"/>
      <c r="C155" s="275"/>
      <c r="D155" s="277"/>
      <c r="E155" s="277"/>
      <c r="F155" s="277"/>
      <c r="G155" s="261"/>
      <c r="H155" s="270"/>
      <c r="I155" s="171"/>
      <c r="J155" s="270"/>
      <c r="K155" s="171"/>
      <c r="L155" s="270"/>
    </row>
    <row r="156" spans="2:12" ht="15.75" thickTop="1" x14ac:dyDescent="0.25">
      <c r="B156" s="120">
        <v>1</v>
      </c>
      <c r="C156" s="39"/>
      <c r="D156" s="39"/>
      <c r="E156" s="39"/>
      <c r="F156" s="39"/>
      <c r="G156" s="20" t="s">
        <v>267</v>
      </c>
      <c r="H156" s="21">
        <f>H139</f>
        <v>38608366</v>
      </c>
      <c r="I156" s="178"/>
      <c r="J156" s="21">
        <f>J139</f>
        <v>39379600</v>
      </c>
      <c r="K156" s="178"/>
      <c r="L156" s="21">
        <f>L139</f>
        <v>40132600</v>
      </c>
    </row>
    <row r="157" spans="2:12" ht="15.75" thickBot="1" x14ac:dyDescent="0.3">
      <c r="B157" s="120">
        <v>2</v>
      </c>
      <c r="C157" s="39"/>
      <c r="D157" s="39"/>
      <c r="E157" s="39"/>
      <c r="F157" s="39"/>
      <c r="G157" s="20" t="s">
        <v>282</v>
      </c>
      <c r="H157" s="21">
        <f>H150</f>
        <v>200000</v>
      </c>
      <c r="I157" s="178"/>
      <c r="J157" s="21">
        <f t="shared" ref="J157:L157" si="27">J150</f>
        <v>0</v>
      </c>
      <c r="K157" s="178"/>
      <c r="L157" s="21">
        <f t="shared" si="27"/>
        <v>0</v>
      </c>
    </row>
    <row r="158" spans="2:12" ht="16.5" thickTop="1" x14ac:dyDescent="0.25">
      <c r="B158" s="121">
        <v>3</v>
      </c>
      <c r="C158" s="42"/>
      <c r="D158" s="42"/>
      <c r="E158" s="42"/>
      <c r="F158" s="42"/>
      <c r="G158" s="27" t="s">
        <v>283</v>
      </c>
      <c r="H158" s="28">
        <f>H156+H157</f>
        <v>38808366</v>
      </c>
      <c r="I158" s="179"/>
      <c r="J158" s="28">
        <f>J139+J150</f>
        <v>39379600</v>
      </c>
      <c r="K158" s="179"/>
      <c r="L158" s="28">
        <f>L139+L150</f>
        <v>40132600</v>
      </c>
    </row>
  </sheetData>
  <mergeCells count="31">
    <mergeCell ref="L152:L155"/>
    <mergeCell ref="B154:B155"/>
    <mergeCell ref="C154:C155"/>
    <mergeCell ref="D154:D155"/>
    <mergeCell ref="E154:E155"/>
    <mergeCell ref="F154:F155"/>
    <mergeCell ref="G154:G155"/>
    <mergeCell ref="B152:G153"/>
    <mergeCell ref="H152:H155"/>
    <mergeCell ref="J152:J155"/>
    <mergeCell ref="B141:G142"/>
    <mergeCell ref="H141:H144"/>
    <mergeCell ref="L141:L144"/>
    <mergeCell ref="B143:B144"/>
    <mergeCell ref="C143:C144"/>
    <mergeCell ref="D143:D144"/>
    <mergeCell ref="E143:E144"/>
    <mergeCell ref="F143:F144"/>
    <mergeCell ref="G143:G144"/>
    <mergeCell ref="J141:J144"/>
    <mergeCell ref="B2:L2"/>
    <mergeCell ref="B4:G5"/>
    <mergeCell ref="H4:H7"/>
    <mergeCell ref="J4:J7"/>
    <mergeCell ref="L4:L7"/>
    <mergeCell ref="B6:B7"/>
    <mergeCell ref="C6:C7"/>
    <mergeCell ref="D6:D7"/>
    <mergeCell ref="E6:E7"/>
    <mergeCell ref="F6:F7"/>
    <mergeCell ref="G6:G7"/>
  </mergeCells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workbookViewId="0"/>
  </sheetViews>
  <sheetFormatPr defaultRowHeight="15" x14ac:dyDescent="0.25"/>
  <cols>
    <col min="1" max="1" width="1" customWidth="1"/>
    <col min="2" max="2" width="3.28515625" style="99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32" customWidth="1"/>
    <col min="8" max="8" width="47" customWidth="1"/>
    <col min="9" max="9" width="12.42578125" style="11" customWidth="1"/>
    <col min="10" max="10" width="1" style="169" customWidth="1"/>
    <col min="11" max="11" width="13" style="11" customWidth="1"/>
    <col min="12" max="12" width="0.7109375" style="169" customWidth="1"/>
    <col min="13" max="13" width="12.5703125" style="11" customWidth="1"/>
    <col min="14" max="14" width="1" style="180" customWidth="1"/>
    <col min="15" max="15" width="12.7109375" style="11" customWidth="1"/>
    <col min="16" max="16" width="1.140625" style="180" customWidth="1"/>
    <col min="17" max="17" width="13" style="11" customWidth="1"/>
    <col min="236" max="236" width="1" customWidth="1"/>
    <col min="237" max="237" width="3.7109375" customWidth="1"/>
    <col min="238" max="238" width="3.42578125" customWidth="1"/>
    <col min="239" max="239" width="2.7109375" customWidth="1"/>
    <col min="240" max="240" width="4.5703125" customWidth="1"/>
    <col min="241" max="241" width="5.42578125" customWidth="1"/>
    <col min="242" max="242" width="4.7109375" customWidth="1"/>
    <col min="243" max="243" width="28.140625" customWidth="1"/>
    <col min="244" max="244" width="12.7109375" customWidth="1"/>
    <col min="245" max="245" width="11.42578125" customWidth="1"/>
    <col min="246" max="246" width="14" customWidth="1"/>
    <col min="247" max="247" width="12.5703125" customWidth="1"/>
    <col min="248" max="249" width="13.140625" customWidth="1"/>
    <col min="250" max="250" width="12.7109375" customWidth="1"/>
    <col min="251" max="251" width="14.5703125" customWidth="1"/>
    <col min="252" max="252" width="0.85546875" customWidth="1"/>
    <col min="253" max="253" width="11.85546875" customWidth="1"/>
    <col min="254" max="254" width="11.7109375" customWidth="1"/>
    <col min="255" max="255" width="12" customWidth="1"/>
    <col min="256" max="256" width="12.5703125" customWidth="1"/>
    <col min="257" max="258" width="14.85546875" customWidth="1"/>
    <col min="259" max="259" width="14" customWidth="1"/>
    <col min="260" max="263" width="16.7109375" customWidth="1"/>
    <col min="264" max="264" width="0.42578125" customWidth="1"/>
    <col min="492" max="492" width="1" customWidth="1"/>
    <col min="493" max="493" width="3.7109375" customWidth="1"/>
    <col min="494" max="494" width="3.42578125" customWidth="1"/>
    <col min="495" max="495" width="2.7109375" customWidth="1"/>
    <col min="496" max="496" width="4.5703125" customWidth="1"/>
    <col min="497" max="497" width="5.42578125" customWidth="1"/>
    <col min="498" max="498" width="4.7109375" customWidth="1"/>
    <col min="499" max="499" width="28.140625" customWidth="1"/>
    <col min="500" max="500" width="12.7109375" customWidth="1"/>
    <col min="501" max="501" width="11.42578125" customWidth="1"/>
    <col min="502" max="502" width="14" customWidth="1"/>
    <col min="503" max="503" width="12.5703125" customWidth="1"/>
    <col min="504" max="505" width="13.140625" customWidth="1"/>
    <col min="506" max="506" width="12.7109375" customWidth="1"/>
    <col min="507" max="507" width="14.5703125" customWidth="1"/>
    <col min="508" max="508" width="0.85546875" customWidth="1"/>
    <col min="509" max="509" width="11.85546875" customWidth="1"/>
    <col min="510" max="510" width="11.7109375" customWidth="1"/>
    <col min="511" max="511" width="12" customWidth="1"/>
    <col min="512" max="512" width="12.5703125" customWidth="1"/>
    <col min="513" max="514" width="14.85546875" customWidth="1"/>
    <col min="515" max="515" width="14" customWidth="1"/>
    <col min="516" max="519" width="16.7109375" customWidth="1"/>
    <col min="520" max="520" width="0.42578125" customWidth="1"/>
    <col min="748" max="748" width="1" customWidth="1"/>
    <col min="749" max="749" width="3.7109375" customWidth="1"/>
    <col min="750" max="750" width="3.42578125" customWidth="1"/>
    <col min="751" max="751" width="2.7109375" customWidth="1"/>
    <col min="752" max="752" width="4.5703125" customWidth="1"/>
    <col min="753" max="753" width="5.42578125" customWidth="1"/>
    <col min="754" max="754" width="4.7109375" customWidth="1"/>
    <col min="755" max="755" width="28.140625" customWidth="1"/>
    <col min="756" max="756" width="12.7109375" customWidth="1"/>
    <col min="757" max="757" width="11.42578125" customWidth="1"/>
    <col min="758" max="758" width="14" customWidth="1"/>
    <col min="759" max="759" width="12.5703125" customWidth="1"/>
    <col min="760" max="761" width="13.140625" customWidth="1"/>
    <col min="762" max="762" width="12.7109375" customWidth="1"/>
    <col min="763" max="763" width="14.5703125" customWidth="1"/>
    <col min="764" max="764" width="0.85546875" customWidth="1"/>
    <col min="765" max="765" width="11.85546875" customWidth="1"/>
    <col min="766" max="766" width="11.7109375" customWidth="1"/>
    <col min="767" max="767" width="12" customWidth="1"/>
    <col min="768" max="768" width="12.5703125" customWidth="1"/>
    <col min="769" max="770" width="14.85546875" customWidth="1"/>
    <col min="771" max="771" width="14" customWidth="1"/>
    <col min="772" max="775" width="16.7109375" customWidth="1"/>
    <col min="776" max="776" width="0.42578125" customWidth="1"/>
    <col min="1004" max="1004" width="1" customWidth="1"/>
    <col min="1005" max="1005" width="3.7109375" customWidth="1"/>
    <col min="1006" max="1006" width="3.42578125" customWidth="1"/>
    <col min="1007" max="1007" width="2.7109375" customWidth="1"/>
    <col min="1008" max="1008" width="4.5703125" customWidth="1"/>
    <col min="1009" max="1009" width="5.42578125" customWidth="1"/>
    <col min="1010" max="1010" width="4.7109375" customWidth="1"/>
    <col min="1011" max="1011" width="28.140625" customWidth="1"/>
    <col min="1012" max="1012" width="12.7109375" customWidth="1"/>
    <col min="1013" max="1013" width="11.42578125" customWidth="1"/>
    <col min="1014" max="1014" width="14" customWidth="1"/>
    <col min="1015" max="1015" width="12.5703125" customWidth="1"/>
    <col min="1016" max="1017" width="13.140625" customWidth="1"/>
    <col min="1018" max="1018" width="12.7109375" customWidth="1"/>
    <col min="1019" max="1019" width="14.5703125" customWidth="1"/>
    <col min="1020" max="1020" width="0.85546875" customWidth="1"/>
    <col min="1021" max="1021" width="11.85546875" customWidth="1"/>
    <col min="1022" max="1022" width="11.7109375" customWidth="1"/>
    <col min="1023" max="1023" width="12" customWidth="1"/>
    <col min="1024" max="1024" width="12.5703125" customWidth="1"/>
    <col min="1025" max="1026" width="14.85546875" customWidth="1"/>
    <col min="1027" max="1027" width="14" customWidth="1"/>
    <col min="1028" max="1031" width="16.7109375" customWidth="1"/>
    <col min="1032" max="1032" width="0.42578125" customWidth="1"/>
    <col min="1260" max="1260" width="1" customWidth="1"/>
    <col min="1261" max="1261" width="3.7109375" customWidth="1"/>
    <col min="1262" max="1262" width="3.42578125" customWidth="1"/>
    <col min="1263" max="1263" width="2.7109375" customWidth="1"/>
    <col min="1264" max="1264" width="4.5703125" customWidth="1"/>
    <col min="1265" max="1265" width="5.42578125" customWidth="1"/>
    <col min="1266" max="1266" width="4.7109375" customWidth="1"/>
    <col min="1267" max="1267" width="28.140625" customWidth="1"/>
    <col min="1268" max="1268" width="12.7109375" customWidth="1"/>
    <col min="1269" max="1269" width="11.42578125" customWidth="1"/>
    <col min="1270" max="1270" width="14" customWidth="1"/>
    <col min="1271" max="1271" width="12.5703125" customWidth="1"/>
    <col min="1272" max="1273" width="13.140625" customWidth="1"/>
    <col min="1274" max="1274" width="12.7109375" customWidth="1"/>
    <col min="1275" max="1275" width="14.5703125" customWidth="1"/>
    <col min="1276" max="1276" width="0.85546875" customWidth="1"/>
    <col min="1277" max="1277" width="11.85546875" customWidth="1"/>
    <col min="1278" max="1278" width="11.7109375" customWidth="1"/>
    <col min="1279" max="1279" width="12" customWidth="1"/>
    <col min="1280" max="1280" width="12.5703125" customWidth="1"/>
    <col min="1281" max="1282" width="14.85546875" customWidth="1"/>
    <col min="1283" max="1283" width="14" customWidth="1"/>
    <col min="1284" max="1287" width="16.7109375" customWidth="1"/>
    <col min="1288" max="1288" width="0.42578125" customWidth="1"/>
    <col min="1516" max="1516" width="1" customWidth="1"/>
    <col min="1517" max="1517" width="3.7109375" customWidth="1"/>
    <col min="1518" max="1518" width="3.42578125" customWidth="1"/>
    <col min="1519" max="1519" width="2.7109375" customWidth="1"/>
    <col min="1520" max="1520" width="4.5703125" customWidth="1"/>
    <col min="1521" max="1521" width="5.42578125" customWidth="1"/>
    <col min="1522" max="1522" width="4.7109375" customWidth="1"/>
    <col min="1523" max="1523" width="28.140625" customWidth="1"/>
    <col min="1524" max="1524" width="12.7109375" customWidth="1"/>
    <col min="1525" max="1525" width="11.42578125" customWidth="1"/>
    <col min="1526" max="1526" width="14" customWidth="1"/>
    <col min="1527" max="1527" width="12.5703125" customWidth="1"/>
    <col min="1528" max="1529" width="13.140625" customWidth="1"/>
    <col min="1530" max="1530" width="12.7109375" customWidth="1"/>
    <col min="1531" max="1531" width="14.5703125" customWidth="1"/>
    <col min="1532" max="1532" width="0.85546875" customWidth="1"/>
    <col min="1533" max="1533" width="11.85546875" customWidth="1"/>
    <col min="1534" max="1534" width="11.7109375" customWidth="1"/>
    <col min="1535" max="1535" width="12" customWidth="1"/>
    <col min="1536" max="1536" width="12.5703125" customWidth="1"/>
    <col min="1537" max="1538" width="14.85546875" customWidth="1"/>
    <col min="1539" max="1539" width="14" customWidth="1"/>
    <col min="1540" max="1543" width="16.7109375" customWidth="1"/>
    <col min="1544" max="1544" width="0.42578125" customWidth="1"/>
    <col min="1772" max="1772" width="1" customWidth="1"/>
    <col min="1773" max="1773" width="3.7109375" customWidth="1"/>
    <col min="1774" max="1774" width="3.42578125" customWidth="1"/>
    <col min="1775" max="1775" width="2.7109375" customWidth="1"/>
    <col min="1776" max="1776" width="4.5703125" customWidth="1"/>
    <col min="1777" max="1777" width="5.42578125" customWidth="1"/>
    <col min="1778" max="1778" width="4.7109375" customWidth="1"/>
    <col min="1779" max="1779" width="28.140625" customWidth="1"/>
    <col min="1780" max="1780" width="12.7109375" customWidth="1"/>
    <col min="1781" max="1781" width="11.42578125" customWidth="1"/>
    <col min="1782" max="1782" width="14" customWidth="1"/>
    <col min="1783" max="1783" width="12.5703125" customWidth="1"/>
    <col min="1784" max="1785" width="13.140625" customWidth="1"/>
    <col min="1786" max="1786" width="12.7109375" customWidth="1"/>
    <col min="1787" max="1787" width="14.5703125" customWidth="1"/>
    <col min="1788" max="1788" width="0.85546875" customWidth="1"/>
    <col min="1789" max="1789" width="11.85546875" customWidth="1"/>
    <col min="1790" max="1790" width="11.7109375" customWidth="1"/>
    <col min="1791" max="1791" width="12" customWidth="1"/>
    <col min="1792" max="1792" width="12.5703125" customWidth="1"/>
    <col min="1793" max="1794" width="14.85546875" customWidth="1"/>
    <col min="1795" max="1795" width="14" customWidth="1"/>
    <col min="1796" max="1799" width="16.7109375" customWidth="1"/>
    <col min="1800" max="1800" width="0.42578125" customWidth="1"/>
    <col min="2028" max="2028" width="1" customWidth="1"/>
    <col min="2029" max="2029" width="3.7109375" customWidth="1"/>
    <col min="2030" max="2030" width="3.42578125" customWidth="1"/>
    <col min="2031" max="2031" width="2.7109375" customWidth="1"/>
    <col min="2032" max="2032" width="4.5703125" customWidth="1"/>
    <col min="2033" max="2033" width="5.42578125" customWidth="1"/>
    <col min="2034" max="2034" width="4.7109375" customWidth="1"/>
    <col min="2035" max="2035" width="28.140625" customWidth="1"/>
    <col min="2036" max="2036" width="12.7109375" customWidth="1"/>
    <col min="2037" max="2037" width="11.42578125" customWidth="1"/>
    <col min="2038" max="2038" width="14" customWidth="1"/>
    <col min="2039" max="2039" width="12.5703125" customWidth="1"/>
    <col min="2040" max="2041" width="13.140625" customWidth="1"/>
    <col min="2042" max="2042" width="12.7109375" customWidth="1"/>
    <col min="2043" max="2043" width="14.5703125" customWidth="1"/>
    <col min="2044" max="2044" width="0.85546875" customWidth="1"/>
    <col min="2045" max="2045" width="11.85546875" customWidth="1"/>
    <col min="2046" max="2046" width="11.7109375" customWidth="1"/>
    <col min="2047" max="2047" width="12" customWidth="1"/>
    <col min="2048" max="2048" width="12.5703125" customWidth="1"/>
    <col min="2049" max="2050" width="14.85546875" customWidth="1"/>
    <col min="2051" max="2051" width="14" customWidth="1"/>
    <col min="2052" max="2055" width="16.7109375" customWidth="1"/>
    <col min="2056" max="2056" width="0.42578125" customWidth="1"/>
    <col min="2284" max="2284" width="1" customWidth="1"/>
    <col min="2285" max="2285" width="3.7109375" customWidth="1"/>
    <col min="2286" max="2286" width="3.42578125" customWidth="1"/>
    <col min="2287" max="2287" width="2.7109375" customWidth="1"/>
    <col min="2288" max="2288" width="4.5703125" customWidth="1"/>
    <col min="2289" max="2289" width="5.42578125" customWidth="1"/>
    <col min="2290" max="2290" width="4.7109375" customWidth="1"/>
    <col min="2291" max="2291" width="28.140625" customWidth="1"/>
    <col min="2292" max="2292" width="12.7109375" customWidth="1"/>
    <col min="2293" max="2293" width="11.42578125" customWidth="1"/>
    <col min="2294" max="2294" width="14" customWidth="1"/>
    <col min="2295" max="2295" width="12.5703125" customWidth="1"/>
    <col min="2296" max="2297" width="13.140625" customWidth="1"/>
    <col min="2298" max="2298" width="12.7109375" customWidth="1"/>
    <col min="2299" max="2299" width="14.5703125" customWidth="1"/>
    <col min="2300" max="2300" width="0.85546875" customWidth="1"/>
    <col min="2301" max="2301" width="11.85546875" customWidth="1"/>
    <col min="2302" max="2302" width="11.7109375" customWidth="1"/>
    <col min="2303" max="2303" width="12" customWidth="1"/>
    <col min="2304" max="2304" width="12.5703125" customWidth="1"/>
    <col min="2305" max="2306" width="14.85546875" customWidth="1"/>
    <col min="2307" max="2307" width="14" customWidth="1"/>
    <col min="2308" max="2311" width="16.7109375" customWidth="1"/>
    <col min="2312" max="2312" width="0.42578125" customWidth="1"/>
    <col min="2540" max="2540" width="1" customWidth="1"/>
    <col min="2541" max="2541" width="3.7109375" customWidth="1"/>
    <col min="2542" max="2542" width="3.42578125" customWidth="1"/>
    <col min="2543" max="2543" width="2.7109375" customWidth="1"/>
    <col min="2544" max="2544" width="4.5703125" customWidth="1"/>
    <col min="2545" max="2545" width="5.42578125" customWidth="1"/>
    <col min="2546" max="2546" width="4.7109375" customWidth="1"/>
    <col min="2547" max="2547" width="28.140625" customWidth="1"/>
    <col min="2548" max="2548" width="12.7109375" customWidth="1"/>
    <col min="2549" max="2549" width="11.42578125" customWidth="1"/>
    <col min="2550" max="2550" width="14" customWidth="1"/>
    <col min="2551" max="2551" width="12.5703125" customWidth="1"/>
    <col min="2552" max="2553" width="13.140625" customWidth="1"/>
    <col min="2554" max="2554" width="12.7109375" customWidth="1"/>
    <col min="2555" max="2555" width="14.5703125" customWidth="1"/>
    <col min="2556" max="2556" width="0.85546875" customWidth="1"/>
    <col min="2557" max="2557" width="11.85546875" customWidth="1"/>
    <col min="2558" max="2558" width="11.7109375" customWidth="1"/>
    <col min="2559" max="2559" width="12" customWidth="1"/>
    <col min="2560" max="2560" width="12.5703125" customWidth="1"/>
    <col min="2561" max="2562" width="14.85546875" customWidth="1"/>
    <col min="2563" max="2563" width="14" customWidth="1"/>
    <col min="2564" max="2567" width="16.7109375" customWidth="1"/>
    <col min="2568" max="2568" width="0.42578125" customWidth="1"/>
    <col min="2796" max="2796" width="1" customWidth="1"/>
    <col min="2797" max="2797" width="3.7109375" customWidth="1"/>
    <col min="2798" max="2798" width="3.42578125" customWidth="1"/>
    <col min="2799" max="2799" width="2.7109375" customWidth="1"/>
    <col min="2800" max="2800" width="4.5703125" customWidth="1"/>
    <col min="2801" max="2801" width="5.42578125" customWidth="1"/>
    <col min="2802" max="2802" width="4.7109375" customWidth="1"/>
    <col min="2803" max="2803" width="28.140625" customWidth="1"/>
    <col min="2804" max="2804" width="12.7109375" customWidth="1"/>
    <col min="2805" max="2805" width="11.42578125" customWidth="1"/>
    <col min="2806" max="2806" width="14" customWidth="1"/>
    <col min="2807" max="2807" width="12.5703125" customWidth="1"/>
    <col min="2808" max="2809" width="13.140625" customWidth="1"/>
    <col min="2810" max="2810" width="12.7109375" customWidth="1"/>
    <col min="2811" max="2811" width="14.5703125" customWidth="1"/>
    <col min="2812" max="2812" width="0.85546875" customWidth="1"/>
    <col min="2813" max="2813" width="11.85546875" customWidth="1"/>
    <col min="2814" max="2814" width="11.7109375" customWidth="1"/>
    <col min="2815" max="2815" width="12" customWidth="1"/>
    <col min="2816" max="2816" width="12.5703125" customWidth="1"/>
    <col min="2817" max="2818" width="14.85546875" customWidth="1"/>
    <col min="2819" max="2819" width="14" customWidth="1"/>
    <col min="2820" max="2823" width="16.7109375" customWidth="1"/>
    <col min="2824" max="2824" width="0.42578125" customWidth="1"/>
    <col min="3052" max="3052" width="1" customWidth="1"/>
    <col min="3053" max="3053" width="3.7109375" customWidth="1"/>
    <col min="3054" max="3054" width="3.42578125" customWidth="1"/>
    <col min="3055" max="3055" width="2.7109375" customWidth="1"/>
    <col min="3056" max="3056" width="4.5703125" customWidth="1"/>
    <col min="3057" max="3057" width="5.42578125" customWidth="1"/>
    <col min="3058" max="3058" width="4.7109375" customWidth="1"/>
    <col min="3059" max="3059" width="28.140625" customWidth="1"/>
    <col min="3060" max="3060" width="12.7109375" customWidth="1"/>
    <col min="3061" max="3061" width="11.42578125" customWidth="1"/>
    <col min="3062" max="3062" width="14" customWidth="1"/>
    <col min="3063" max="3063" width="12.5703125" customWidth="1"/>
    <col min="3064" max="3065" width="13.140625" customWidth="1"/>
    <col min="3066" max="3066" width="12.7109375" customWidth="1"/>
    <col min="3067" max="3067" width="14.5703125" customWidth="1"/>
    <col min="3068" max="3068" width="0.85546875" customWidth="1"/>
    <col min="3069" max="3069" width="11.85546875" customWidth="1"/>
    <col min="3070" max="3070" width="11.7109375" customWidth="1"/>
    <col min="3071" max="3071" width="12" customWidth="1"/>
    <col min="3072" max="3072" width="12.5703125" customWidth="1"/>
    <col min="3073" max="3074" width="14.85546875" customWidth="1"/>
    <col min="3075" max="3075" width="14" customWidth="1"/>
    <col min="3076" max="3079" width="16.7109375" customWidth="1"/>
    <col min="3080" max="3080" width="0.42578125" customWidth="1"/>
    <col min="3308" max="3308" width="1" customWidth="1"/>
    <col min="3309" max="3309" width="3.7109375" customWidth="1"/>
    <col min="3310" max="3310" width="3.42578125" customWidth="1"/>
    <col min="3311" max="3311" width="2.7109375" customWidth="1"/>
    <col min="3312" max="3312" width="4.5703125" customWidth="1"/>
    <col min="3313" max="3313" width="5.42578125" customWidth="1"/>
    <col min="3314" max="3314" width="4.7109375" customWidth="1"/>
    <col min="3315" max="3315" width="28.140625" customWidth="1"/>
    <col min="3316" max="3316" width="12.7109375" customWidth="1"/>
    <col min="3317" max="3317" width="11.42578125" customWidth="1"/>
    <col min="3318" max="3318" width="14" customWidth="1"/>
    <col min="3319" max="3319" width="12.5703125" customWidth="1"/>
    <col min="3320" max="3321" width="13.140625" customWidth="1"/>
    <col min="3322" max="3322" width="12.7109375" customWidth="1"/>
    <col min="3323" max="3323" width="14.5703125" customWidth="1"/>
    <col min="3324" max="3324" width="0.85546875" customWidth="1"/>
    <col min="3325" max="3325" width="11.85546875" customWidth="1"/>
    <col min="3326" max="3326" width="11.7109375" customWidth="1"/>
    <col min="3327" max="3327" width="12" customWidth="1"/>
    <col min="3328" max="3328" width="12.5703125" customWidth="1"/>
    <col min="3329" max="3330" width="14.85546875" customWidth="1"/>
    <col min="3331" max="3331" width="14" customWidth="1"/>
    <col min="3332" max="3335" width="16.7109375" customWidth="1"/>
    <col min="3336" max="3336" width="0.42578125" customWidth="1"/>
    <col min="3564" max="3564" width="1" customWidth="1"/>
    <col min="3565" max="3565" width="3.7109375" customWidth="1"/>
    <col min="3566" max="3566" width="3.42578125" customWidth="1"/>
    <col min="3567" max="3567" width="2.7109375" customWidth="1"/>
    <col min="3568" max="3568" width="4.5703125" customWidth="1"/>
    <col min="3569" max="3569" width="5.42578125" customWidth="1"/>
    <col min="3570" max="3570" width="4.7109375" customWidth="1"/>
    <col min="3571" max="3571" width="28.140625" customWidth="1"/>
    <col min="3572" max="3572" width="12.7109375" customWidth="1"/>
    <col min="3573" max="3573" width="11.42578125" customWidth="1"/>
    <col min="3574" max="3574" width="14" customWidth="1"/>
    <col min="3575" max="3575" width="12.5703125" customWidth="1"/>
    <col min="3576" max="3577" width="13.140625" customWidth="1"/>
    <col min="3578" max="3578" width="12.7109375" customWidth="1"/>
    <col min="3579" max="3579" width="14.5703125" customWidth="1"/>
    <col min="3580" max="3580" width="0.85546875" customWidth="1"/>
    <col min="3581" max="3581" width="11.85546875" customWidth="1"/>
    <col min="3582" max="3582" width="11.7109375" customWidth="1"/>
    <col min="3583" max="3583" width="12" customWidth="1"/>
    <col min="3584" max="3584" width="12.5703125" customWidth="1"/>
    <col min="3585" max="3586" width="14.85546875" customWidth="1"/>
    <col min="3587" max="3587" width="14" customWidth="1"/>
    <col min="3588" max="3591" width="16.7109375" customWidth="1"/>
    <col min="3592" max="3592" width="0.42578125" customWidth="1"/>
    <col min="3820" max="3820" width="1" customWidth="1"/>
    <col min="3821" max="3821" width="3.7109375" customWidth="1"/>
    <col min="3822" max="3822" width="3.42578125" customWidth="1"/>
    <col min="3823" max="3823" width="2.7109375" customWidth="1"/>
    <col min="3824" max="3824" width="4.5703125" customWidth="1"/>
    <col min="3825" max="3825" width="5.42578125" customWidth="1"/>
    <col min="3826" max="3826" width="4.7109375" customWidth="1"/>
    <col min="3827" max="3827" width="28.140625" customWidth="1"/>
    <col min="3828" max="3828" width="12.7109375" customWidth="1"/>
    <col min="3829" max="3829" width="11.42578125" customWidth="1"/>
    <col min="3830" max="3830" width="14" customWidth="1"/>
    <col min="3831" max="3831" width="12.5703125" customWidth="1"/>
    <col min="3832" max="3833" width="13.140625" customWidth="1"/>
    <col min="3834" max="3834" width="12.7109375" customWidth="1"/>
    <col min="3835" max="3835" width="14.5703125" customWidth="1"/>
    <col min="3836" max="3836" width="0.85546875" customWidth="1"/>
    <col min="3837" max="3837" width="11.85546875" customWidth="1"/>
    <col min="3838" max="3838" width="11.7109375" customWidth="1"/>
    <col min="3839" max="3839" width="12" customWidth="1"/>
    <col min="3840" max="3840" width="12.5703125" customWidth="1"/>
    <col min="3841" max="3842" width="14.85546875" customWidth="1"/>
    <col min="3843" max="3843" width="14" customWidth="1"/>
    <col min="3844" max="3847" width="16.7109375" customWidth="1"/>
    <col min="3848" max="3848" width="0.42578125" customWidth="1"/>
    <col min="4076" max="4076" width="1" customWidth="1"/>
    <col min="4077" max="4077" width="3.7109375" customWidth="1"/>
    <col min="4078" max="4078" width="3.42578125" customWidth="1"/>
    <col min="4079" max="4079" width="2.7109375" customWidth="1"/>
    <col min="4080" max="4080" width="4.5703125" customWidth="1"/>
    <col min="4081" max="4081" width="5.42578125" customWidth="1"/>
    <col min="4082" max="4082" width="4.7109375" customWidth="1"/>
    <col min="4083" max="4083" width="28.140625" customWidth="1"/>
    <col min="4084" max="4084" width="12.7109375" customWidth="1"/>
    <col min="4085" max="4085" width="11.42578125" customWidth="1"/>
    <col min="4086" max="4086" width="14" customWidth="1"/>
    <col min="4087" max="4087" width="12.5703125" customWidth="1"/>
    <col min="4088" max="4089" width="13.140625" customWidth="1"/>
    <col min="4090" max="4090" width="12.7109375" customWidth="1"/>
    <col min="4091" max="4091" width="14.5703125" customWidth="1"/>
    <col min="4092" max="4092" width="0.85546875" customWidth="1"/>
    <col min="4093" max="4093" width="11.85546875" customWidth="1"/>
    <col min="4094" max="4094" width="11.7109375" customWidth="1"/>
    <col min="4095" max="4095" width="12" customWidth="1"/>
    <col min="4096" max="4096" width="12.5703125" customWidth="1"/>
    <col min="4097" max="4098" width="14.85546875" customWidth="1"/>
    <col min="4099" max="4099" width="14" customWidth="1"/>
    <col min="4100" max="4103" width="16.7109375" customWidth="1"/>
    <col min="4104" max="4104" width="0.42578125" customWidth="1"/>
    <col min="4332" max="4332" width="1" customWidth="1"/>
    <col min="4333" max="4333" width="3.7109375" customWidth="1"/>
    <col min="4334" max="4334" width="3.42578125" customWidth="1"/>
    <col min="4335" max="4335" width="2.7109375" customWidth="1"/>
    <col min="4336" max="4336" width="4.5703125" customWidth="1"/>
    <col min="4337" max="4337" width="5.42578125" customWidth="1"/>
    <col min="4338" max="4338" width="4.7109375" customWidth="1"/>
    <col min="4339" max="4339" width="28.140625" customWidth="1"/>
    <col min="4340" max="4340" width="12.7109375" customWidth="1"/>
    <col min="4341" max="4341" width="11.42578125" customWidth="1"/>
    <col min="4342" max="4342" width="14" customWidth="1"/>
    <col min="4343" max="4343" width="12.5703125" customWidth="1"/>
    <col min="4344" max="4345" width="13.140625" customWidth="1"/>
    <col min="4346" max="4346" width="12.7109375" customWidth="1"/>
    <col min="4347" max="4347" width="14.5703125" customWidth="1"/>
    <col min="4348" max="4348" width="0.85546875" customWidth="1"/>
    <col min="4349" max="4349" width="11.85546875" customWidth="1"/>
    <col min="4350" max="4350" width="11.7109375" customWidth="1"/>
    <col min="4351" max="4351" width="12" customWidth="1"/>
    <col min="4352" max="4352" width="12.5703125" customWidth="1"/>
    <col min="4353" max="4354" width="14.85546875" customWidth="1"/>
    <col min="4355" max="4355" width="14" customWidth="1"/>
    <col min="4356" max="4359" width="16.7109375" customWidth="1"/>
    <col min="4360" max="4360" width="0.42578125" customWidth="1"/>
    <col min="4588" max="4588" width="1" customWidth="1"/>
    <col min="4589" max="4589" width="3.7109375" customWidth="1"/>
    <col min="4590" max="4590" width="3.42578125" customWidth="1"/>
    <col min="4591" max="4591" width="2.7109375" customWidth="1"/>
    <col min="4592" max="4592" width="4.5703125" customWidth="1"/>
    <col min="4593" max="4593" width="5.42578125" customWidth="1"/>
    <col min="4594" max="4594" width="4.7109375" customWidth="1"/>
    <col min="4595" max="4595" width="28.140625" customWidth="1"/>
    <col min="4596" max="4596" width="12.7109375" customWidth="1"/>
    <col min="4597" max="4597" width="11.42578125" customWidth="1"/>
    <col min="4598" max="4598" width="14" customWidth="1"/>
    <col min="4599" max="4599" width="12.5703125" customWidth="1"/>
    <col min="4600" max="4601" width="13.140625" customWidth="1"/>
    <col min="4602" max="4602" width="12.7109375" customWidth="1"/>
    <col min="4603" max="4603" width="14.5703125" customWidth="1"/>
    <col min="4604" max="4604" width="0.85546875" customWidth="1"/>
    <col min="4605" max="4605" width="11.85546875" customWidth="1"/>
    <col min="4606" max="4606" width="11.7109375" customWidth="1"/>
    <col min="4607" max="4607" width="12" customWidth="1"/>
    <col min="4608" max="4608" width="12.5703125" customWidth="1"/>
    <col min="4609" max="4610" width="14.85546875" customWidth="1"/>
    <col min="4611" max="4611" width="14" customWidth="1"/>
    <col min="4612" max="4615" width="16.7109375" customWidth="1"/>
    <col min="4616" max="4616" width="0.42578125" customWidth="1"/>
    <col min="4844" max="4844" width="1" customWidth="1"/>
    <col min="4845" max="4845" width="3.7109375" customWidth="1"/>
    <col min="4846" max="4846" width="3.42578125" customWidth="1"/>
    <col min="4847" max="4847" width="2.7109375" customWidth="1"/>
    <col min="4848" max="4848" width="4.5703125" customWidth="1"/>
    <col min="4849" max="4849" width="5.42578125" customWidth="1"/>
    <col min="4850" max="4850" width="4.7109375" customWidth="1"/>
    <col min="4851" max="4851" width="28.140625" customWidth="1"/>
    <col min="4852" max="4852" width="12.7109375" customWidth="1"/>
    <col min="4853" max="4853" width="11.42578125" customWidth="1"/>
    <col min="4854" max="4854" width="14" customWidth="1"/>
    <col min="4855" max="4855" width="12.5703125" customWidth="1"/>
    <col min="4856" max="4857" width="13.140625" customWidth="1"/>
    <col min="4858" max="4858" width="12.7109375" customWidth="1"/>
    <col min="4859" max="4859" width="14.5703125" customWidth="1"/>
    <col min="4860" max="4860" width="0.85546875" customWidth="1"/>
    <col min="4861" max="4861" width="11.85546875" customWidth="1"/>
    <col min="4862" max="4862" width="11.7109375" customWidth="1"/>
    <col min="4863" max="4863" width="12" customWidth="1"/>
    <col min="4864" max="4864" width="12.5703125" customWidth="1"/>
    <col min="4865" max="4866" width="14.85546875" customWidth="1"/>
    <col min="4867" max="4867" width="14" customWidth="1"/>
    <col min="4868" max="4871" width="16.7109375" customWidth="1"/>
    <col min="4872" max="4872" width="0.42578125" customWidth="1"/>
    <col min="5100" max="5100" width="1" customWidth="1"/>
    <col min="5101" max="5101" width="3.7109375" customWidth="1"/>
    <col min="5102" max="5102" width="3.42578125" customWidth="1"/>
    <col min="5103" max="5103" width="2.7109375" customWidth="1"/>
    <col min="5104" max="5104" width="4.5703125" customWidth="1"/>
    <col min="5105" max="5105" width="5.42578125" customWidth="1"/>
    <col min="5106" max="5106" width="4.7109375" customWidth="1"/>
    <col min="5107" max="5107" width="28.140625" customWidth="1"/>
    <col min="5108" max="5108" width="12.7109375" customWidth="1"/>
    <col min="5109" max="5109" width="11.42578125" customWidth="1"/>
    <col min="5110" max="5110" width="14" customWidth="1"/>
    <col min="5111" max="5111" width="12.5703125" customWidth="1"/>
    <col min="5112" max="5113" width="13.140625" customWidth="1"/>
    <col min="5114" max="5114" width="12.7109375" customWidth="1"/>
    <col min="5115" max="5115" width="14.5703125" customWidth="1"/>
    <col min="5116" max="5116" width="0.85546875" customWidth="1"/>
    <col min="5117" max="5117" width="11.85546875" customWidth="1"/>
    <col min="5118" max="5118" width="11.7109375" customWidth="1"/>
    <col min="5119" max="5119" width="12" customWidth="1"/>
    <col min="5120" max="5120" width="12.5703125" customWidth="1"/>
    <col min="5121" max="5122" width="14.85546875" customWidth="1"/>
    <col min="5123" max="5123" width="14" customWidth="1"/>
    <col min="5124" max="5127" width="16.7109375" customWidth="1"/>
    <col min="5128" max="5128" width="0.42578125" customWidth="1"/>
    <col min="5356" max="5356" width="1" customWidth="1"/>
    <col min="5357" max="5357" width="3.7109375" customWidth="1"/>
    <col min="5358" max="5358" width="3.42578125" customWidth="1"/>
    <col min="5359" max="5359" width="2.7109375" customWidth="1"/>
    <col min="5360" max="5360" width="4.5703125" customWidth="1"/>
    <col min="5361" max="5361" width="5.42578125" customWidth="1"/>
    <col min="5362" max="5362" width="4.7109375" customWidth="1"/>
    <col min="5363" max="5363" width="28.140625" customWidth="1"/>
    <col min="5364" max="5364" width="12.7109375" customWidth="1"/>
    <col min="5365" max="5365" width="11.42578125" customWidth="1"/>
    <col min="5366" max="5366" width="14" customWidth="1"/>
    <col min="5367" max="5367" width="12.5703125" customWidth="1"/>
    <col min="5368" max="5369" width="13.140625" customWidth="1"/>
    <col min="5370" max="5370" width="12.7109375" customWidth="1"/>
    <col min="5371" max="5371" width="14.5703125" customWidth="1"/>
    <col min="5372" max="5372" width="0.85546875" customWidth="1"/>
    <col min="5373" max="5373" width="11.85546875" customWidth="1"/>
    <col min="5374" max="5374" width="11.7109375" customWidth="1"/>
    <col min="5375" max="5375" width="12" customWidth="1"/>
    <col min="5376" max="5376" width="12.5703125" customWidth="1"/>
    <col min="5377" max="5378" width="14.85546875" customWidth="1"/>
    <col min="5379" max="5379" width="14" customWidth="1"/>
    <col min="5380" max="5383" width="16.7109375" customWidth="1"/>
    <col min="5384" max="5384" width="0.42578125" customWidth="1"/>
    <col min="5612" max="5612" width="1" customWidth="1"/>
    <col min="5613" max="5613" width="3.7109375" customWidth="1"/>
    <col min="5614" max="5614" width="3.42578125" customWidth="1"/>
    <col min="5615" max="5615" width="2.7109375" customWidth="1"/>
    <col min="5616" max="5616" width="4.5703125" customWidth="1"/>
    <col min="5617" max="5617" width="5.42578125" customWidth="1"/>
    <col min="5618" max="5618" width="4.7109375" customWidth="1"/>
    <col min="5619" max="5619" width="28.140625" customWidth="1"/>
    <col min="5620" max="5620" width="12.7109375" customWidth="1"/>
    <col min="5621" max="5621" width="11.42578125" customWidth="1"/>
    <col min="5622" max="5622" width="14" customWidth="1"/>
    <col min="5623" max="5623" width="12.5703125" customWidth="1"/>
    <col min="5624" max="5625" width="13.140625" customWidth="1"/>
    <col min="5626" max="5626" width="12.7109375" customWidth="1"/>
    <col min="5627" max="5627" width="14.5703125" customWidth="1"/>
    <col min="5628" max="5628" width="0.85546875" customWidth="1"/>
    <col min="5629" max="5629" width="11.85546875" customWidth="1"/>
    <col min="5630" max="5630" width="11.7109375" customWidth="1"/>
    <col min="5631" max="5631" width="12" customWidth="1"/>
    <col min="5632" max="5632" width="12.5703125" customWidth="1"/>
    <col min="5633" max="5634" width="14.85546875" customWidth="1"/>
    <col min="5635" max="5635" width="14" customWidth="1"/>
    <col min="5636" max="5639" width="16.7109375" customWidth="1"/>
    <col min="5640" max="5640" width="0.42578125" customWidth="1"/>
    <col min="5868" max="5868" width="1" customWidth="1"/>
    <col min="5869" max="5869" width="3.7109375" customWidth="1"/>
    <col min="5870" max="5870" width="3.42578125" customWidth="1"/>
    <col min="5871" max="5871" width="2.7109375" customWidth="1"/>
    <col min="5872" max="5872" width="4.5703125" customWidth="1"/>
    <col min="5873" max="5873" width="5.42578125" customWidth="1"/>
    <col min="5874" max="5874" width="4.7109375" customWidth="1"/>
    <col min="5875" max="5875" width="28.140625" customWidth="1"/>
    <col min="5876" max="5876" width="12.7109375" customWidth="1"/>
    <col min="5877" max="5877" width="11.42578125" customWidth="1"/>
    <col min="5878" max="5878" width="14" customWidth="1"/>
    <col min="5879" max="5879" width="12.5703125" customWidth="1"/>
    <col min="5880" max="5881" width="13.140625" customWidth="1"/>
    <col min="5882" max="5882" width="12.7109375" customWidth="1"/>
    <col min="5883" max="5883" width="14.5703125" customWidth="1"/>
    <col min="5884" max="5884" width="0.85546875" customWidth="1"/>
    <col min="5885" max="5885" width="11.85546875" customWidth="1"/>
    <col min="5886" max="5886" width="11.7109375" customWidth="1"/>
    <col min="5887" max="5887" width="12" customWidth="1"/>
    <col min="5888" max="5888" width="12.5703125" customWidth="1"/>
    <col min="5889" max="5890" width="14.85546875" customWidth="1"/>
    <col min="5891" max="5891" width="14" customWidth="1"/>
    <col min="5892" max="5895" width="16.7109375" customWidth="1"/>
    <col min="5896" max="5896" width="0.42578125" customWidth="1"/>
    <col min="6124" max="6124" width="1" customWidth="1"/>
    <col min="6125" max="6125" width="3.7109375" customWidth="1"/>
    <col min="6126" max="6126" width="3.42578125" customWidth="1"/>
    <col min="6127" max="6127" width="2.7109375" customWidth="1"/>
    <col min="6128" max="6128" width="4.5703125" customWidth="1"/>
    <col min="6129" max="6129" width="5.42578125" customWidth="1"/>
    <col min="6130" max="6130" width="4.7109375" customWidth="1"/>
    <col min="6131" max="6131" width="28.140625" customWidth="1"/>
    <col min="6132" max="6132" width="12.7109375" customWidth="1"/>
    <col min="6133" max="6133" width="11.42578125" customWidth="1"/>
    <col min="6134" max="6134" width="14" customWidth="1"/>
    <col min="6135" max="6135" width="12.5703125" customWidth="1"/>
    <col min="6136" max="6137" width="13.140625" customWidth="1"/>
    <col min="6138" max="6138" width="12.7109375" customWidth="1"/>
    <col min="6139" max="6139" width="14.5703125" customWidth="1"/>
    <col min="6140" max="6140" width="0.85546875" customWidth="1"/>
    <col min="6141" max="6141" width="11.85546875" customWidth="1"/>
    <col min="6142" max="6142" width="11.7109375" customWidth="1"/>
    <col min="6143" max="6143" width="12" customWidth="1"/>
    <col min="6144" max="6144" width="12.5703125" customWidth="1"/>
    <col min="6145" max="6146" width="14.85546875" customWidth="1"/>
    <col min="6147" max="6147" width="14" customWidth="1"/>
    <col min="6148" max="6151" width="16.7109375" customWidth="1"/>
    <col min="6152" max="6152" width="0.42578125" customWidth="1"/>
    <col min="6380" max="6380" width="1" customWidth="1"/>
    <col min="6381" max="6381" width="3.7109375" customWidth="1"/>
    <col min="6382" max="6382" width="3.42578125" customWidth="1"/>
    <col min="6383" max="6383" width="2.7109375" customWidth="1"/>
    <col min="6384" max="6384" width="4.5703125" customWidth="1"/>
    <col min="6385" max="6385" width="5.42578125" customWidth="1"/>
    <col min="6386" max="6386" width="4.7109375" customWidth="1"/>
    <col min="6387" max="6387" width="28.140625" customWidth="1"/>
    <col min="6388" max="6388" width="12.7109375" customWidth="1"/>
    <col min="6389" max="6389" width="11.42578125" customWidth="1"/>
    <col min="6390" max="6390" width="14" customWidth="1"/>
    <col min="6391" max="6391" width="12.5703125" customWidth="1"/>
    <col min="6392" max="6393" width="13.140625" customWidth="1"/>
    <col min="6394" max="6394" width="12.7109375" customWidth="1"/>
    <col min="6395" max="6395" width="14.5703125" customWidth="1"/>
    <col min="6396" max="6396" width="0.85546875" customWidth="1"/>
    <col min="6397" max="6397" width="11.85546875" customWidth="1"/>
    <col min="6398" max="6398" width="11.7109375" customWidth="1"/>
    <col min="6399" max="6399" width="12" customWidth="1"/>
    <col min="6400" max="6400" width="12.5703125" customWidth="1"/>
    <col min="6401" max="6402" width="14.85546875" customWidth="1"/>
    <col min="6403" max="6403" width="14" customWidth="1"/>
    <col min="6404" max="6407" width="16.7109375" customWidth="1"/>
    <col min="6408" max="6408" width="0.42578125" customWidth="1"/>
    <col min="6636" max="6636" width="1" customWidth="1"/>
    <col min="6637" max="6637" width="3.7109375" customWidth="1"/>
    <col min="6638" max="6638" width="3.42578125" customWidth="1"/>
    <col min="6639" max="6639" width="2.7109375" customWidth="1"/>
    <col min="6640" max="6640" width="4.5703125" customWidth="1"/>
    <col min="6641" max="6641" width="5.42578125" customWidth="1"/>
    <col min="6642" max="6642" width="4.7109375" customWidth="1"/>
    <col min="6643" max="6643" width="28.140625" customWidth="1"/>
    <col min="6644" max="6644" width="12.7109375" customWidth="1"/>
    <col min="6645" max="6645" width="11.42578125" customWidth="1"/>
    <col min="6646" max="6646" width="14" customWidth="1"/>
    <col min="6647" max="6647" width="12.5703125" customWidth="1"/>
    <col min="6648" max="6649" width="13.140625" customWidth="1"/>
    <col min="6650" max="6650" width="12.7109375" customWidth="1"/>
    <col min="6651" max="6651" width="14.5703125" customWidth="1"/>
    <col min="6652" max="6652" width="0.85546875" customWidth="1"/>
    <col min="6653" max="6653" width="11.85546875" customWidth="1"/>
    <col min="6654" max="6654" width="11.7109375" customWidth="1"/>
    <col min="6655" max="6655" width="12" customWidth="1"/>
    <col min="6656" max="6656" width="12.5703125" customWidth="1"/>
    <col min="6657" max="6658" width="14.85546875" customWidth="1"/>
    <col min="6659" max="6659" width="14" customWidth="1"/>
    <col min="6660" max="6663" width="16.7109375" customWidth="1"/>
    <col min="6664" max="6664" width="0.42578125" customWidth="1"/>
    <col min="6892" max="6892" width="1" customWidth="1"/>
    <col min="6893" max="6893" width="3.7109375" customWidth="1"/>
    <col min="6894" max="6894" width="3.42578125" customWidth="1"/>
    <col min="6895" max="6895" width="2.7109375" customWidth="1"/>
    <col min="6896" max="6896" width="4.5703125" customWidth="1"/>
    <col min="6897" max="6897" width="5.42578125" customWidth="1"/>
    <col min="6898" max="6898" width="4.7109375" customWidth="1"/>
    <col min="6899" max="6899" width="28.140625" customWidth="1"/>
    <col min="6900" max="6900" width="12.7109375" customWidth="1"/>
    <col min="6901" max="6901" width="11.42578125" customWidth="1"/>
    <col min="6902" max="6902" width="14" customWidth="1"/>
    <col min="6903" max="6903" width="12.5703125" customWidth="1"/>
    <col min="6904" max="6905" width="13.140625" customWidth="1"/>
    <col min="6906" max="6906" width="12.7109375" customWidth="1"/>
    <col min="6907" max="6907" width="14.5703125" customWidth="1"/>
    <col min="6908" max="6908" width="0.85546875" customWidth="1"/>
    <col min="6909" max="6909" width="11.85546875" customWidth="1"/>
    <col min="6910" max="6910" width="11.7109375" customWidth="1"/>
    <col min="6911" max="6911" width="12" customWidth="1"/>
    <col min="6912" max="6912" width="12.5703125" customWidth="1"/>
    <col min="6913" max="6914" width="14.85546875" customWidth="1"/>
    <col min="6915" max="6915" width="14" customWidth="1"/>
    <col min="6916" max="6919" width="16.7109375" customWidth="1"/>
    <col min="6920" max="6920" width="0.42578125" customWidth="1"/>
    <col min="7148" max="7148" width="1" customWidth="1"/>
    <col min="7149" max="7149" width="3.7109375" customWidth="1"/>
    <col min="7150" max="7150" width="3.42578125" customWidth="1"/>
    <col min="7151" max="7151" width="2.7109375" customWidth="1"/>
    <col min="7152" max="7152" width="4.5703125" customWidth="1"/>
    <col min="7153" max="7153" width="5.42578125" customWidth="1"/>
    <col min="7154" max="7154" width="4.7109375" customWidth="1"/>
    <col min="7155" max="7155" width="28.140625" customWidth="1"/>
    <col min="7156" max="7156" width="12.7109375" customWidth="1"/>
    <col min="7157" max="7157" width="11.42578125" customWidth="1"/>
    <col min="7158" max="7158" width="14" customWidth="1"/>
    <col min="7159" max="7159" width="12.5703125" customWidth="1"/>
    <col min="7160" max="7161" width="13.140625" customWidth="1"/>
    <col min="7162" max="7162" width="12.7109375" customWidth="1"/>
    <col min="7163" max="7163" width="14.5703125" customWidth="1"/>
    <col min="7164" max="7164" width="0.85546875" customWidth="1"/>
    <col min="7165" max="7165" width="11.85546875" customWidth="1"/>
    <col min="7166" max="7166" width="11.7109375" customWidth="1"/>
    <col min="7167" max="7167" width="12" customWidth="1"/>
    <col min="7168" max="7168" width="12.5703125" customWidth="1"/>
    <col min="7169" max="7170" width="14.85546875" customWidth="1"/>
    <col min="7171" max="7171" width="14" customWidth="1"/>
    <col min="7172" max="7175" width="16.7109375" customWidth="1"/>
    <col min="7176" max="7176" width="0.42578125" customWidth="1"/>
    <col min="7404" max="7404" width="1" customWidth="1"/>
    <col min="7405" max="7405" width="3.7109375" customWidth="1"/>
    <col min="7406" max="7406" width="3.42578125" customWidth="1"/>
    <col min="7407" max="7407" width="2.7109375" customWidth="1"/>
    <col min="7408" max="7408" width="4.5703125" customWidth="1"/>
    <col min="7409" max="7409" width="5.42578125" customWidth="1"/>
    <col min="7410" max="7410" width="4.7109375" customWidth="1"/>
    <col min="7411" max="7411" width="28.140625" customWidth="1"/>
    <col min="7412" max="7412" width="12.7109375" customWidth="1"/>
    <col min="7413" max="7413" width="11.42578125" customWidth="1"/>
    <col min="7414" max="7414" width="14" customWidth="1"/>
    <col min="7415" max="7415" width="12.5703125" customWidth="1"/>
    <col min="7416" max="7417" width="13.140625" customWidth="1"/>
    <col min="7418" max="7418" width="12.7109375" customWidth="1"/>
    <col min="7419" max="7419" width="14.5703125" customWidth="1"/>
    <col min="7420" max="7420" width="0.85546875" customWidth="1"/>
    <col min="7421" max="7421" width="11.85546875" customWidth="1"/>
    <col min="7422" max="7422" width="11.7109375" customWidth="1"/>
    <col min="7423" max="7423" width="12" customWidth="1"/>
    <col min="7424" max="7424" width="12.5703125" customWidth="1"/>
    <col min="7425" max="7426" width="14.85546875" customWidth="1"/>
    <col min="7427" max="7427" width="14" customWidth="1"/>
    <col min="7428" max="7431" width="16.7109375" customWidth="1"/>
    <col min="7432" max="7432" width="0.42578125" customWidth="1"/>
    <col min="7660" max="7660" width="1" customWidth="1"/>
    <col min="7661" max="7661" width="3.7109375" customWidth="1"/>
    <col min="7662" max="7662" width="3.42578125" customWidth="1"/>
    <col min="7663" max="7663" width="2.7109375" customWidth="1"/>
    <col min="7664" max="7664" width="4.5703125" customWidth="1"/>
    <col min="7665" max="7665" width="5.42578125" customWidth="1"/>
    <col min="7666" max="7666" width="4.7109375" customWidth="1"/>
    <col min="7667" max="7667" width="28.140625" customWidth="1"/>
    <col min="7668" max="7668" width="12.7109375" customWidth="1"/>
    <col min="7669" max="7669" width="11.42578125" customWidth="1"/>
    <col min="7670" max="7670" width="14" customWidth="1"/>
    <col min="7671" max="7671" width="12.5703125" customWidth="1"/>
    <col min="7672" max="7673" width="13.140625" customWidth="1"/>
    <col min="7674" max="7674" width="12.7109375" customWidth="1"/>
    <col min="7675" max="7675" width="14.5703125" customWidth="1"/>
    <col min="7676" max="7676" width="0.85546875" customWidth="1"/>
    <col min="7677" max="7677" width="11.85546875" customWidth="1"/>
    <col min="7678" max="7678" width="11.7109375" customWidth="1"/>
    <col min="7679" max="7679" width="12" customWidth="1"/>
    <col min="7680" max="7680" width="12.5703125" customWidth="1"/>
    <col min="7681" max="7682" width="14.85546875" customWidth="1"/>
    <col min="7683" max="7683" width="14" customWidth="1"/>
    <col min="7684" max="7687" width="16.7109375" customWidth="1"/>
    <col min="7688" max="7688" width="0.42578125" customWidth="1"/>
    <col min="7916" max="7916" width="1" customWidth="1"/>
    <col min="7917" max="7917" width="3.7109375" customWidth="1"/>
    <col min="7918" max="7918" width="3.42578125" customWidth="1"/>
    <col min="7919" max="7919" width="2.7109375" customWidth="1"/>
    <col min="7920" max="7920" width="4.5703125" customWidth="1"/>
    <col min="7921" max="7921" width="5.42578125" customWidth="1"/>
    <col min="7922" max="7922" width="4.7109375" customWidth="1"/>
    <col min="7923" max="7923" width="28.140625" customWidth="1"/>
    <col min="7924" max="7924" width="12.7109375" customWidth="1"/>
    <col min="7925" max="7925" width="11.42578125" customWidth="1"/>
    <col min="7926" max="7926" width="14" customWidth="1"/>
    <col min="7927" max="7927" width="12.5703125" customWidth="1"/>
    <col min="7928" max="7929" width="13.140625" customWidth="1"/>
    <col min="7930" max="7930" width="12.7109375" customWidth="1"/>
    <col min="7931" max="7931" width="14.5703125" customWidth="1"/>
    <col min="7932" max="7932" width="0.85546875" customWidth="1"/>
    <col min="7933" max="7933" width="11.85546875" customWidth="1"/>
    <col min="7934" max="7934" width="11.7109375" customWidth="1"/>
    <col min="7935" max="7935" width="12" customWidth="1"/>
    <col min="7936" max="7936" width="12.5703125" customWidth="1"/>
    <col min="7937" max="7938" width="14.85546875" customWidth="1"/>
    <col min="7939" max="7939" width="14" customWidth="1"/>
    <col min="7940" max="7943" width="16.7109375" customWidth="1"/>
    <col min="7944" max="7944" width="0.42578125" customWidth="1"/>
    <col min="8172" max="8172" width="1" customWidth="1"/>
    <col min="8173" max="8173" width="3.7109375" customWidth="1"/>
    <col min="8174" max="8174" width="3.42578125" customWidth="1"/>
    <col min="8175" max="8175" width="2.7109375" customWidth="1"/>
    <col min="8176" max="8176" width="4.5703125" customWidth="1"/>
    <col min="8177" max="8177" width="5.42578125" customWidth="1"/>
    <col min="8178" max="8178" width="4.7109375" customWidth="1"/>
    <col min="8179" max="8179" width="28.140625" customWidth="1"/>
    <col min="8180" max="8180" width="12.7109375" customWidth="1"/>
    <col min="8181" max="8181" width="11.42578125" customWidth="1"/>
    <col min="8182" max="8182" width="14" customWidth="1"/>
    <col min="8183" max="8183" width="12.5703125" customWidth="1"/>
    <col min="8184" max="8185" width="13.140625" customWidth="1"/>
    <col min="8186" max="8186" width="12.7109375" customWidth="1"/>
    <col min="8187" max="8187" width="14.5703125" customWidth="1"/>
    <col min="8188" max="8188" width="0.85546875" customWidth="1"/>
    <col min="8189" max="8189" width="11.85546875" customWidth="1"/>
    <col min="8190" max="8190" width="11.7109375" customWidth="1"/>
    <col min="8191" max="8191" width="12" customWidth="1"/>
    <col min="8192" max="8192" width="12.5703125" customWidth="1"/>
    <col min="8193" max="8194" width="14.85546875" customWidth="1"/>
    <col min="8195" max="8195" width="14" customWidth="1"/>
    <col min="8196" max="8199" width="16.7109375" customWidth="1"/>
    <col min="8200" max="8200" width="0.42578125" customWidth="1"/>
    <col min="8428" max="8428" width="1" customWidth="1"/>
    <col min="8429" max="8429" width="3.7109375" customWidth="1"/>
    <col min="8430" max="8430" width="3.42578125" customWidth="1"/>
    <col min="8431" max="8431" width="2.7109375" customWidth="1"/>
    <col min="8432" max="8432" width="4.5703125" customWidth="1"/>
    <col min="8433" max="8433" width="5.42578125" customWidth="1"/>
    <col min="8434" max="8434" width="4.7109375" customWidth="1"/>
    <col min="8435" max="8435" width="28.140625" customWidth="1"/>
    <col min="8436" max="8436" width="12.7109375" customWidth="1"/>
    <col min="8437" max="8437" width="11.42578125" customWidth="1"/>
    <col min="8438" max="8438" width="14" customWidth="1"/>
    <col min="8439" max="8439" width="12.5703125" customWidth="1"/>
    <col min="8440" max="8441" width="13.140625" customWidth="1"/>
    <col min="8442" max="8442" width="12.7109375" customWidth="1"/>
    <col min="8443" max="8443" width="14.5703125" customWidth="1"/>
    <col min="8444" max="8444" width="0.85546875" customWidth="1"/>
    <col min="8445" max="8445" width="11.85546875" customWidth="1"/>
    <col min="8446" max="8446" width="11.7109375" customWidth="1"/>
    <col min="8447" max="8447" width="12" customWidth="1"/>
    <col min="8448" max="8448" width="12.5703125" customWidth="1"/>
    <col min="8449" max="8450" width="14.85546875" customWidth="1"/>
    <col min="8451" max="8451" width="14" customWidth="1"/>
    <col min="8452" max="8455" width="16.7109375" customWidth="1"/>
    <col min="8456" max="8456" width="0.42578125" customWidth="1"/>
    <col min="8684" max="8684" width="1" customWidth="1"/>
    <col min="8685" max="8685" width="3.7109375" customWidth="1"/>
    <col min="8686" max="8686" width="3.42578125" customWidth="1"/>
    <col min="8687" max="8687" width="2.7109375" customWidth="1"/>
    <col min="8688" max="8688" width="4.5703125" customWidth="1"/>
    <col min="8689" max="8689" width="5.42578125" customWidth="1"/>
    <col min="8690" max="8690" width="4.7109375" customWidth="1"/>
    <col min="8691" max="8691" width="28.140625" customWidth="1"/>
    <col min="8692" max="8692" width="12.7109375" customWidth="1"/>
    <col min="8693" max="8693" width="11.42578125" customWidth="1"/>
    <col min="8694" max="8694" width="14" customWidth="1"/>
    <col min="8695" max="8695" width="12.5703125" customWidth="1"/>
    <col min="8696" max="8697" width="13.140625" customWidth="1"/>
    <col min="8698" max="8698" width="12.7109375" customWidth="1"/>
    <col min="8699" max="8699" width="14.5703125" customWidth="1"/>
    <col min="8700" max="8700" width="0.85546875" customWidth="1"/>
    <col min="8701" max="8701" width="11.85546875" customWidth="1"/>
    <col min="8702" max="8702" width="11.7109375" customWidth="1"/>
    <col min="8703" max="8703" width="12" customWidth="1"/>
    <col min="8704" max="8704" width="12.5703125" customWidth="1"/>
    <col min="8705" max="8706" width="14.85546875" customWidth="1"/>
    <col min="8707" max="8707" width="14" customWidth="1"/>
    <col min="8708" max="8711" width="16.7109375" customWidth="1"/>
    <col min="8712" max="8712" width="0.42578125" customWidth="1"/>
    <col min="8940" max="8940" width="1" customWidth="1"/>
    <col min="8941" max="8941" width="3.7109375" customWidth="1"/>
    <col min="8942" max="8942" width="3.42578125" customWidth="1"/>
    <col min="8943" max="8943" width="2.7109375" customWidth="1"/>
    <col min="8944" max="8944" width="4.5703125" customWidth="1"/>
    <col min="8945" max="8945" width="5.42578125" customWidth="1"/>
    <col min="8946" max="8946" width="4.7109375" customWidth="1"/>
    <col min="8947" max="8947" width="28.140625" customWidth="1"/>
    <col min="8948" max="8948" width="12.7109375" customWidth="1"/>
    <col min="8949" max="8949" width="11.42578125" customWidth="1"/>
    <col min="8950" max="8950" width="14" customWidth="1"/>
    <col min="8951" max="8951" width="12.5703125" customWidth="1"/>
    <col min="8952" max="8953" width="13.140625" customWidth="1"/>
    <col min="8954" max="8954" width="12.7109375" customWidth="1"/>
    <col min="8955" max="8955" width="14.5703125" customWidth="1"/>
    <col min="8956" max="8956" width="0.85546875" customWidth="1"/>
    <col min="8957" max="8957" width="11.85546875" customWidth="1"/>
    <col min="8958" max="8958" width="11.7109375" customWidth="1"/>
    <col min="8959" max="8959" width="12" customWidth="1"/>
    <col min="8960" max="8960" width="12.5703125" customWidth="1"/>
    <col min="8961" max="8962" width="14.85546875" customWidth="1"/>
    <col min="8963" max="8963" width="14" customWidth="1"/>
    <col min="8964" max="8967" width="16.7109375" customWidth="1"/>
    <col min="8968" max="8968" width="0.42578125" customWidth="1"/>
    <col min="9196" max="9196" width="1" customWidth="1"/>
    <col min="9197" max="9197" width="3.7109375" customWidth="1"/>
    <col min="9198" max="9198" width="3.42578125" customWidth="1"/>
    <col min="9199" max="9199" width="2.7109375" customWidth="1"/>
    <col min="9200" max="9200" width="4.5703125" customWidth="1"/>
    <col min="9201" max="9201" width="5.42578125" customWidth="1"/>
    <col min="9202" max="9202" width="4.7109375" customWidth="1"/>
    <col min="9203" max="9203" width="28.140625" customWidth="1"/>
    <col min="9204" max="9204" width="12.7109375" customWidth="1"/>
    <col min="9205" max="9205" width="11.42578125" customWidth="1"/>
    <col min="9206" max="9206" width="14" customWidth="1"/>
    <col min="9207" max="9207" width="12.5703125" customWidth="1"/>
    <col min="9208" max="9209" width="13.140625" customWidth="1"/>
    <col min="9210" max="9210" width="12.7109375" customWidth="1"/>
    <col min="9211" max="9211" width="14.5703125" customWidth="1"/>
    <col min="9212" max="9212" width="0.85546875" customWidth="1"/>
    <col min="9213" max="9213" width="11.85546875" customWidth="1"/>
    <col min="9214" max="9214" width="11.7109375" customWidth="1"/>
    <col min="9215" max="9215" width="12" customWidth="1"/>
    <col min="9216" max="9216" width="12.5703125" customWidth="1"/>
    <col min="9217" max="9218" width="14.85546875" customWidth="1"/>
    <col min="9219" max="9219" width="14" customWidth="1"/>
    <col min="9220" max="9223" width="16.7109375" customWidth="1"/>
    <col min="9224" max="9224" width="0.42578125" customWidth="1"/>
    <col min="9452" max="9452" width="1" customWidth="1"/>
    <col min="9453" max="9453" width="3.7109375" customWidth="1"/>
    <col min="9454" max="9454" width="3.42578125" customWidth="1"/>
    <col min="9455" max="9455" width="2.7109375" customWidth="1"/>
    <col min="9456" max="9456" width="4.5703125" customWidth="1"/>
    <col min="9457" max="9457" width="5.42578125" customWidth="1"/>
    <col min="9458" max="9458" width="4.7109375" customWidth="1"/>
    <col min="9459" max="9459" width="28.140625" customWidth="1"/>
    <col min="9460" max="9460" width="12.7109375" customWidth="1"/>
    <col min="9461" max="9461" width="11.42578125" customWidth="1"/>
    <col min="9462" max="9462" width="14" customWidth="1"/>
    <col min="9463" max="9463" width="12.5703125" customWidth="1"/>
    <col min="9464" max="9465" width="13.140625" customWidth="1"/>
    <col min="9466" max="9466" width="12.7109375" customWidth="1"/>
    <col min="9467" max="9467" width="14.5703125" customWidth="1"/>
    <col min="9468" max="9468" width="0.85546875" customWidth="1"/>
    <col min="9469" max="9469" width="11.85546875" customWidth="1"/>
    <col min="9470" max="9470" width="11.7109375" customWidth="1"/>
    <col min="9471" max="9471" width="12" customWidth="1"/>
    <col min="9472" max="9472" width="12.5703125" customWidth="1"/>
    <col min="9473" max="9474" width="14.85546875" customWidth="1"/>
    <col min="9475" max="9475" width="14" customWidth="1"/>
    <col min="9476" max="9479" width="16.7109375" customWidth="1"/>
    <col min="9480" max="9480" width="0.42578125" customWidth="1"/>
    <col min="9708" max="9708" width="1" customWidth="1"/>
    <col min="9709" max="9709" width="3.7109375" customWidth="1"/>
    <col min="9710" max="9710" width="3.42578125" customWidth="1"/>
    <col min="9711" max="9711" width="2.7109375" customWidth="1"/>
    <col min="9712" max="9712" width="4.5703125" customWidth="1"/>
    <col min="9713" max="9713" width="5.42578125" customWidth="1"/>
    <col min="9714" max="9714" width="4.7109375" customWidth="1"/>
    <col min="9715" max="9715" width="28.140625" customWidth="1"/>
    <col min="9716" max="9716" width="12.7109375" customWidth="1"/>
    <col min="9717" max="9717" width="11.42578125" customWidth="1"/>
    <col min="9718" max="9718" width="14" customWidth="1"/>
    <col min="9719" max="9719" width="12.5703125" customWidth="1"/>
    <col min="9720" max="9721" width="13.140625" customWidth="1"/>
    <col min="9722" max="9722" width="12.7109375" customWidth="1"/>
    <col min="9723" max="9723" width="14.5703125" customWidth="1"/>
    <col min="9724" max="9724" width="0.85546875" customWidth="1"/>
    <col min="9725" max="9725" width="11.85546875" customWidth="1"/>
    <col min="9726" max="9726" width="11.7109375" customWidth="1"/>
    <col min="9727" max="9727" width="12" customWidth="1"/>
    <col min="9728" max="9728" width="12.5703125" customWidth="1"/>
    <col min="9729" max="9730" width="14.85546875" customWidth="1"/>
    <col min="9731" max="9731" width="14" customWidth="1"/>
    <col min="9732" max="9735" width="16.7109375" customWidth="1"/>
    <col min="9736" max="9736" width="0.42578125" customWidth="1"/>
    <col min="9964" max="9964" width="1" customWidth="1"/>
    <col min="9965" max="9965" width="3.7109375" customWidth="1"/>
    <col min="9966" max="9966" width="3.42578125" customWidth="1"/>
    <col min="9967" max="9967" width="2.7109375" customWidth="1"/>
    <col min="9968" max="9968" width="4.5703125" customWidth="1"/>
    <col min="9969" max="9969" width="5.42578125" customWidth="1"/>
    <col min="9970" max="9970" width="4.7109375" customWidth="1"/>
    <col min="9971" max="9971" width="28.140625" customWidth="1"/>
    <col min="9972" max="9972" width="12.7109375" customWidth="1"/>
    <col min="9973" max="9973" width="11.42578125" customWidth="1"/>
    <col min="9974" max="9974" width="14" customWidth="1"/>
    <col min="9975" max="9975" width="12.5703125" customWidth="1"/>
    <col min="9976" max="9977" width="13.140625" customWidth="1"/>
    <col min="9978" max="9978" width="12.7109375" customWidth="1"/>
    <col min="9979" max="9979" width="14.5703125" customWidth="1"/>
    <col min="9980" max="9980" width="0.85546875" customWidth="1"/>
    <col min="9981" max="9981" width="11.85546875" customWidth="1"/>
    <col min="9982" max="9982" width="11.7109375" customWidth="1"/>
    <col min="9983" max="9983" width="12" customWidth="1"/>
    <col min="9984" max="9984" width="12.5703125" customWidth="1"/>
    <col min="9985" max="9986" width="14.85546875" customWidth="1"/>
    <col min="9987" max="9987" width="14" customWidth="1"/>
    <col min="9988" max="9991" width="16.7109375" customWidth="1"/>
    <col min="9992" max="9992" width="0.42578125" customWidth="1"/>
    <col min="10220" max="10220" width="1" customWidth="1"/>
    <col min="10221" max="10221" width="3.7109375" customWidth="1"/>
    <col min="10222" max="10222" width="3.42578125" customWidth="1"/>
    <col min="10223" max="10223" width="2.7109375" customWidth="1"/>
    <col min="10224" max="10224" width="4.5703125" customWidth="1"/>
    <col min="10225" max="10225" width="5.42578125" customWidth="1"/>
    <col min="10226" max="10226" width="4.7109375" customWidth="1"/>
    <col min="10227" max="10227" width="28.140625" customWidth="1"/>
    <col min="10228" max="10228" width="12.7109375" customWidth="1"/>
    <col min="10229" max="10229" width="11.42578125" customWidth="1"/>
    <col min="10230" max="10230" width="14" customWidth="1"/>
    <col min="10231" max="10231" width="12.5703125" customWidth="1"/>
    <col min="10232" max="10233" width="13.140625" customWidth="1"/>
    <col min="10234" max="10234" width="12.7109375" customWidth="1"/>
    <col min="10235" max="10235" width="14.5703125" customWidth="1"/>
    <col min="10236" max="10236" width="0.85546875" customWidth="1"/>
    <col min="10237" max="10237" width="11.85546875" customWidth="1"/>
    <col min="10238" max="10238" width="11.7109375" customWidth="1"/>
    <col min="10239" max="10239" width="12" customWidth="1"/>
    <col min="10240" max="10240" width="12.5703125" customWidth="1"/>
    <col min="10241" max="10242" width="14.85546875" customWidth="1"/>
    <col min="10243" max="10243" width="14" customWidth="1"/>
    <col min="10244" max="10247" width="16.7109375" customWidth="1"/>
    <col min="10248" max="10248" width="0.42578125" customWidth="1"/>
    <col min="10476" max="10476" width="1" customWidth="1"/>
    <col min="10477" max="10477" width="3.7109375" customWidth="1"/>
    <col min="10478" max="10478" width="3.42578125" customWidth="1"/>
    <col min="10479" max="10479" width="2.7109375" customWidth="1"/>
    <col min="10480" max="10480" width="4.5703125" customWidth="1"/>
    <col min="10481" max="10481" width="5.42578125" customWidth="1"/>
    <col min="10482" max="10482" width="4.7109375" customWidth="1"/>
    <col min="10483" max="10483" width="28.140625" customWidth="1"/>
    <col min="10484" max="10484" width="12.7109375" customWidth="1"/>
    <col min="10485" max="10485" width="11.42578125" customWidth="1"/>
    <col min="10486" max="10486" width="14" customWidth="1"/>
    <col min="10487" max="10487" width="12.5703125" customWidth="1"/>
    <col min="10488" max="10489" width="13.140625" customWidth="1"/>
    <col min="10490" max="10490" width="12.7109375" customWidth="1"/>
    <col min="10491" max="10491" width="14.5703125" customWidth="1"/>
    <col min="10492" max="10492" width="0.85546875" customWidth="1"/>
    <col min="10493" max="10493" width="11.85546875" customWidth="1"/>
    <col min="10494" max="10494" width="11.7109375" customWidth="1"/>
    <col min="10495" max="10495" width="12" customWidth="1"/>
    <col min="10496" max="10496" width="12.5703125" customWidth="1"/>
    <col min="10497" max="10498" width="14.85546875" customWidth="1"/>
    <col min="10499" max="10499" width="14" customWidth="1"/>
    <col min="10500" max="10503" width="16.7109375" customWidth="1"/>
    <col min="10504" max="10504" width="0.42578125" customWidth="1"/>
    <col min="10732" max="10732" width="1" customWidth="1"/>
    <col min="10733" max="10733" width="3.7109375" customWidth="1"/>
    <col min="10734" max="10734" width="3.42578125" customWidth="1"/>
    <col min="10735" max="10735" width="2.7109375" customWidth="1"/>
    <col min="10736" max="10736" width="4.5703125" customWidth="1"/>
    <col min="10737" max="10737" width="5.42578125" customWidth="1"/>
    <col min="10738" max="10738" width="4.7109375" customWidth="1"/>
    <col min="10739" max="10739" width="28.140625" customWidth="1"/>
    <col min="10740" max="10740" width="12.7109375" customWidth="1"/>
    <col min="10741" max="10741" width="11.42578125" customWidth="1"/>
    <col min="10742" max="10742" width="14" customWidth="1"/>
    <col min="10743" max="10743" width="12.5703125" customWidth="1"/>
    <col min="10744" max="10745" width="13.140625" customWidth="1"/>
    <col min="10746" max="10746" width="12.7109375" customWidth="1"/>
    <col min="10747" max="10747" width="14.5703125" customWidth="1"/>
    <col min="10748" max="10748" width="0.85546875" customWidth="1"/>
    <col min="10749" max="10749" width="11.85546875" customWidth="1"/>
    <col min="10750" max="10750" width="11.7109375" customWidth="1"/>
    <col min="10751" max="10751" width="12" customWidth="1"/>
    <col min="10752" max="10752" width="12.5703125" customWidth="1"/>
    <col min="10753" max="10754" width="14.85546875" customWidth="1"/>
    <col min="10755" max="10755" width="14" customWidth="1"/>
    <col min="10756" max="10759" width="16.7109375" customWidth="1"/>
    <col min="10760" max="10760" width="0.42578125" customWidth="1"/>
    <col min="10988" max="10988" width="1" customWidth="1"/>
    <col min="10989" max="10989" width="3.7109375" customWidth="1"/>
    <col min="10990" max="10990" width="3.42578125" customWidth="1"/>
    <col min="10991" max="10991" width="2.7109375" customWidth="1"/>
    <col min="10992" max="10992" width="4.5703125" customWidth="1"/>
    <col min="10993" max="10993" width="5.42578125" customWidth="1"/>
    <col min="10994" max="10994" width="4.7109375" customWidth="1"/>
    <col min="10995" max="10995" width="28.140625" customWidth="1"/>
    <col min="10996" max="10996" width="12.7109375" customWidth="1"/>
    <col min="10997" max="10997" width="11.42578125" customWidth="1"/>
    <col min="10998" max="10998" width="14" customWidth="1"/>
    <col min="10999" max="10999" width="12.5703125" customWidth="1"/>
    <col min="11000" max="11001" width="13.140625" customWidth="1"/>
    <col min="11002" max="11002" width="12.7109375" customWidth="1"/>
    <col min="11003" max="11003" width="14.5703125" customWidth="1"/>
    <col min="11004" max="11004" width="0.85546875" customWidth="1"/>
    <col min="11005" max="11005" width="11.85546875" customWidth="1"/>
    <col min="11006" max="11006" width="11.7109375" customWidth="1"/>
    <col min="11007" max="11007" width="12" customWidth="1"/>
    <col min="11008" max="11008" width="12.5703125" customWidth="1"/>
    <col min="11009" max="11010" width="14.85546875" customWidth="1"/>
    <col min="11011" max="11011" width="14" customWidth="1"/>
    <col min="11012" max="11015" width="16.7109375" customWidth="1"/>
    <col min="11016" max="11016" width="0.42578125" customWidth="1"/>
    <col min="11244" max="11244" width="1" customWidth="1"/>
    <col min="11245" max="11245" width="3.7109375" customWidth="1"/>
    <col min="11246" max="11246" width="3.42578125" customWidth="1"/>
    <col min="11247" max="11247" width="2.7109375" customWidth="1"/>
    <col min="11248" max="11248" width="4.5703125" customWidth="1"/>
    <col min="11249" max="11249" width="5.42578125" customWidth="1"/>
    <col min="11250" max="11250" width="4.7109375" customWidth="1"/>
    <col min="11251" max="11251" width="28.140625" customWidth="1"/>
    <col min="11252" max="11252" width="12.7109375" customWidth="1"/>
    <col min="11253" max="11253" width="11.42578125" customWidth="1"/>
    <col min="11254" max="11254" width="14" customWidth="1"/>
    <col min="11255" max="11255" width="12.5703125" customWidth="1"/>
    <col min="11256" max="11257" width="13.140625" customWidth="1"/>
    <col min="11258" max="11258" width="12.7109375" customWidth="1"/>
    <col min="11259" max="11259" width="14.5703125" customWidth="1"/>
    <col min="11260" max="11260" width="0.85546875" customWidth="1"/>
    <col min="11261" max="11261" width="11.85546875" customWidth="1"/>
    <col min="11262" max="11262" width="11.7109375" customWidth="1"/>
    <col min="11263" max="11263" width="12" customWidth="1"/>
    <col min="11264" max="11264" width="12.5703125" customWidth="1"/>
    <col min="11265" max="11266" width="14.85546875" customWidth="1"/>
    <col min="11267" max="11267" width="14" customWidth="1"/>
    <col min="11268" max="11271" width="16.7109375" customWidth="1"/>
    <col min="11272" max="11272" width="0.42578125" customWidth="1"/>
    <col min="11500" max="11500" width="1" customWidth="1"/>
    <col min="11501" max="11501" width="3.7109375" customWidth="1"/>
    <col min="11502" max="11502" width="3.42578125" customWidth="1"/>
    <col min="11503" max="11503" width="2.7109375" customWidth="1"/>
    <col min="11504" max="11504" width="4.5703125" customWidth="1"/>
    <col min="11505" max="11505" width="5.42578125" customWidth="1"/>
    <col min="11506" max="11506" width="4.7109375" customWidth="1"/>
    <col min="11507" max="11507" width="28.140625" customWidth="1"/>
    <col min="11508" max="11508" width="12.7109375" customWidth="1"/>
    <col min="11509" max="11509" width="11.42578125" customWidth="1"/>
    <col min="11510" max="11510" width="14" customWidth="1"/>
    <col min="11511" max="11511" width="12.5703125" customWidth="1"/>
    <col min="11512" max="11513" width="13.140625" customWidth="1"/>
    <col min="11514" max="11514" width="12.7109375" customWidth="1"/>
    <col min="11515" max="11515" width="14.5703125" customWidth="1"/>
    <col min="11516" max="11516" width="0.85546875" customWidth="1"/>
    <col min="11517" max="11517" width="11.85546875" customWidth="1"/>
    <col min="11518" max="11518" width="11.7109375" customWidth="1"/>
    <col min="11519" max="11519" width="12" customWidth="1"/>
    <col min="11520" max="11520" width="12.5703125" customWidth="1"/>
    <col min="11521" max="11522" width="14.85546875" customWidth="1"/>
    <col min="11523" max="11523" width="14" customWidth="1"/>
    <col min="11524" max="11527" width="16.7109375" customWidth="1"/>
    <col min="11528" max="11528" width="0.42578125" customWidth="1"/>
    <col min="11756" max="11756" width="1" customWidth="1"/>
    <col min="11757" max="11757" width="3.7109375" customWidth="1"/>
    <col min="11758" max="11758" width="3.42578125" customWidth="1"/>
    <col min="11759" max="11759" width="2.7109375" customWidth="1"/>
    <col min="11760" max="11760" width="4.5703125" customWidth="1"/>
    <col min="11761" max="11761" width="5.42578125" customWidth="1"/>
    <col min="11762" max="11762" width="4.7109375" customWidth="1"/>
    <col min="11763" max="11763" width="28.140625" customWidth="1"/>
    <col min="11764" max="11764" width="12.7109375" customWidth="1"/>
    <col min="11765" max="11765" width="11.42578125" customWidth="1"/>
    <col min="11766" max="11766" width="14" customWidth="1"/>
    <col min="11767" max="11767" width="12.5703125" customWidth="1"/>
    <col min="11768" max="11769" width="13.140625" customWidth="1"/>
    <col min="11770" max="11770" width="12.7109375" customWidth="1"/>
    <col min="11771" max="11771" width="14.5703125" customWidth="1"/>
    <col min="11772" max="11772" width="0.85546875" customWidth="1"/>
    <col min="11773" max="11773" width="11.85546875" customWidth="1"/>
    <col min="11774" max="11774" width="11.7109375" customWidth="1"/>
    <col min="11775" max="11775" width="12" customWidth="1"/>
    <col min="11776" max="11776" width="12.5703125" customWidth="1"/>
    <col min="11777" max="11778" width="14.85546875" customWidth="1"/>
    <col min="11779" max="11779" width="14" customWidth="1"/>
    <col min="11780" max="11783" width="16.7109375" customWidth="1"/>
    <col min="11784" max="11784" width="0.42578125" customWidth="1"/>
    <col min="12012" max="12012" width="1" customWidth="1"/>
    <col min="12013" max="12013" width="3.7109375" customWidth="1"/>
    <col min="12014" max="12014" width="3.42578125" customWidth="1"/>
    <col min="12015" max="12015" width="2.7109375" customWidth="1"/>
    <col min="12016" max="12016" width="4.5703125" customWidth="1"/>
    <col min="12017" max="12017" width="5.42578125" customWidth="1"/>
    <col min="12018" max="12018" width="4.7109375" customWidth="1"/>
    <col min="12019" max="12019" width="28.140625" customWidth="1"/>
    <col min="12020" max="12020" width="12.7109375" customWidth="1"/>
    <col min="12021" max="12021" width="11.42578125" customWidth="1"/>
    <col min="12022" max="12022" width="14" customWidth="1"/>
    <col min="12023" max="12023" width="12.5703125" customWidth="1"/>
    <col min="12024" max="12025" width="13.140625" customWidth="1"/>
    <col min="12026" max="12026" width="12.7109375" customWidth="1"/>
    <col min="12027" max="12027" width="14.5703125" customWidth="1"/>
    <col min="12028" max="12028" width="0.85546875" customWidth="1"/>
    <col min="12029" max="12029" width="11.85546875" customWidth="1"/>
    <col min="12030" max="12030" width="11.7109375" customWidth="1"/>
    <col min="12031" max="12031" width="12" customWidth="1"/>
    <col min="12032" max="12032" width="12.5703125" customWidth="1"/>
    <col min="12033" max="12034" width="14.85546875" customWidth="1"/>
    <col min="12035" max="12035" width="14" customWidth="1"/>
    <col min="12036" max="12039" width="16.7109375" customWidth="1"/>
    <col min="12040" max="12040" width="0.42578125" customWidth="1"/>
    <col min="12268" max="12268" width="1" customWidth="1"/>
    <col min="12269" max="12269" width="3.7109375" customWidth="1"/>
    <col min="12270" max="12270" width="3.42578125" customWidth="1"/>
    <col min="12271" max="12271" width="2.7109375" customWidth="1"/>
    <col min="12272" max="12272" width="4.5703125" customWidth="1"/>
    <col min="12273" max="12273" width="5.42578125" customWidth="1"/>
    <col min="12274" max="12274" width="4.7109375" customWidth="1"/>
    <col min="12275" max="12275" width="28.140625" customWidth="1"/>
    <col min="12276" max="12276" width="12.7109375" customWidth="1"/>
    <col min="12277" max="12277" width="11.42578125" customWidth="1"/>
    <col min="12278" max="12278" width="14" customWidth="1"/>
    <col min="12279" max="12279" width="12.5703125" customWidth="1"/>
    <col min="12280" max="12281" width="13.140625" customWidth="1"/>
    <col min="12282" max="12282" width="12.7109375" customWidth="1"/>
    <col min="12283" max="12283" width="14.5703125" customWidth="1"/>
    <col min="12284" max="12284" width="0.85546875" customWidth="1"/>
    <col min="12285" max="12285" width="11.85546875" customWidth="1"/>
    <col min="12286" max="12286" width="11.7109375" customWidth="1"/>
    <col min="12287" max="12287" width="12" customWidth="1"/>
    <col min="12288" max="12288" width="12.5703125" customWidth="1"/>
    <col min="12289" max="12290" width="14.85546875" customWidth="1"/>
    <col min="12291" max="12291" width="14" customWidth="1"/>
    <col min="12292" max="12295" width="16.7109375" customWidth="1"/>
    <col min="12296" max="12296" width="0.42578125" customWidth="1"/>
    <col min="12524" max="12524" width="1" customWidth="1"/>
    <col min="12525" max="12525" width="3.7109375" customWidth="1"/>
    <col min="12526" max="12526" width="3.42578125" customWidth="1"/>
    <col min="12527" max="12527" width="2.7109375" customWidth="1"/>
    <col min="12528" max="12528" width="4.5703125" customWidth="1"/>
    <col min="12529" max="12529" width="5.42578125" customWidth="1"/>
    <col min="12530" max="12530" width="4.7109375" customWidth="1"/>
    <col min="12531" max="12531" width="28.140625" customWidth="1"/>
    <col min="12532" max="12532" width="12.7109375" customWidth="1"/>
    <col min="12533" max="12533" width="11.42578125" customWidth="1"/>
    <col min="12534" max="12534" width="14" customWidth="1"/>
    <col min="12535" max="12535" width="12.5703125" customWidth="1"/>
    <col min="12536" max="12537" width="13.140625" customWidth="1"/>
    <col min="12538" max="12538" width="12.7109375" customWidth="1"/>
    <col min="12539" max="12539" width="14.5703125" customWidth="1"/>
    <col min="12540" max="12540" width="0.85546875" customWidth="1"/>
    <col min="12541" max="12541" width="11.85546875" customWidth="1"/>
    <col min="12542" max="12542" width="11.7109375" customWidth="1"/>
    <col min="12543" max="12543" width="12" customWidth="1"/>
    <col min="12544" max="12544" width="12.5703125" customWidth="1"/>
    <col min="12545" max="12546" width="14.85546875" customWidth="1"/>
    <col min="12547" max="12547" width="14" customWidth="1"/>
    <col min="12548" max="12551" width="16.7109375" customWidth="1"/>
    <col min="12552" max="12552" width="0.42578125" customWidth="1"/>
    <col min="12780" max="12780" width="1" customWidth="1"/>
    <col min="12781" max="12781" width="3.7109375" customWidth="1"/>
    <col min="12782" max="12782" width="3.42578125" customWidth="1"/>
    <col min="12783" max="12783" width="2.7109375" customWidth="1"/>
    <col min="12784" max="12784" width="4.5703125" customWidth="1"/>
    <col min="12785" max="12785" width="5.42578125" customWidth="1"/>
    <col min="12786" max="12786" width="4.7109375" customWidth="1"/>
    <col min="12787" max="12787" width="28.140625" customWidth="1"/>
    <col min="12788" max="12788" width="12.7109375" customWidth="1"/>
    <col min="12789" max="12789" width="11.42578125" customWidth="1"/>
    <col min="12790" max="12790" width="14" customWidth="1"/>
    <col min="12791" max="12791" width="12.5703125" customWidth="1"/>
    <col min="12792" max="12793" width="13.140625" customWidth="1"/>
    <col min="12794" max="12794" width="12.7109375" customWidth="1"/>
    <col min="12795" max="12795" width="14.5703125" customWidth="1"/>
    <col min="12796" max="12796" width="0.85546875" customWidth="1"/>
    <col min="12797" max="12797" width="11.85546875" customWidth="1"/>
    <col min="12798" max="12798" width="11.7109375" customWidth="1"/>
    <col min="12799" max="12799" width="12" customWidth="1"/>
    <col min="12800" max="12800" width="12.5703125" customWidth="1"/>
    <col min="12801" max="12802" width="14.85546875" customWidth="1"/>
    <col min="12803" max="12803" width="14" customWidth="1"/>
    <col min="12804" max="12807" width="16.7109375" customWidth="1"/>
    <col min="12808" max="12808" width="0.42578125" customWidth="1"/>
    <col min="13036" max="13036" width="1" customWidth="1"/>
    <col min="13037" max="13037" width="3.7109375" customWidth="1"/>
    <col min="13038" max="13038" width="3.42578125" customWidth="1"/>
    <col min="13039" max="13039" width="2.7109375" customWidth="1"/>
    <col min="13040" max="13040" width="4.5703125" customWidth="1"/>
    <col min="13041" max="13041" width="5.42578125" customWidth="1"/>
    <col min="13042" max="13042" width="4.7109375" customWidth="1"/>
    <col min="13043" max="13043" width="28.140625" customWidth="1"/>
    <col min="13044" max="13044" width="12.7109375" customWidth="1"/>
    <col min="13045" max="13045" width="11.42578125" customWidth="1"/>
    <col min="13046" max="13046" width="14" customWidth="1"/>
    <col min="13047" max="13047" width="12.5703125" customWidth="1"/>
    <col min="13048" max="13049" width="13.140625" customWidth="1"/>
    <col min="13050" max="13050" width="12.7109375" customWidth="1"/>
    <col min="13051" max="13051" width="14.5703125" customWidth="1"/>
    <col min="13052" max="13052" width="0.85546875" customWidth="1"/>
    <col min="13053" max="13053" width="11.85546875" customWidth="1"/>
    <col min="13054" max="13054" width="11.7109375" customWidth="1"/>
    <col min="13055" max="13055" width="12" customWidth="1"/>
    <col min="13056" max="13056" width="12.5703125" customWidth="1"/>
    <col min="13057" max="13058" width="14.85546875" customWidth="1"/>
    <col min="13059" max="13059" width="14" customWidth="1"/>
    <col min="13060" max="13063" width="16.7109375" customWidth="1"/>
    <col min="13064" max="13064" width="0.42578125" customWidth="1"/>
    <col min="13292" max="13292" width="1" customWidth="1"/>
    <col min="13293" max="13293" width="3.7109375" customWidth="1"/>
    <col min="13294" max="13294" width="3.42578125" customWidth="1"/>
    <col min="13295" max="13295" width="2.7109375" customWidth="1"/>
    <col min="13296" max="13296" width="4.5703125" customWidth="1"/>
    <col min="13297" max="13297" width="5.42578125" customWidth="1"/>
    <col min="13298" max="13298" width="4.7109375" customWidth="1"/>
    <col min="13299" max="13299" width="28.140625" customWidth="1"/>
    <col min="13300" max="13300" width="12.7109375" customWidth="1"/>
    <col min="13301" max="13301" width="11.42578125" customWidth="1"/>
    <col min="13302" max="13302" width="14" customWidth="1"/>
    <col min="13303" max="13303" width="12.5703125" customWidth="1"/>
    <col min="13304" max="13305" width="13.140625" customWidth="1"/>
    <col min="13306" max="13306" width="12.7109375" customWidth="1"/>
    <col min="13307" max="13307" width="14.5703125" customWidth="1"/>
    <col min="13308" max="13308" width="0.85546875" customWidth="1"/>
    <col min="13309" max="13309" width="11.85546875" customWidth="1"/>
    <col min="13310" max="13310" width="11.7109375" customWidth="1"/>
    <col min="13311" max="13311" width="12" customWidth="1"/>
    <col min="13312" max="13312" width="12.5703125" customWidth="1"/>
    <col min="13313" max="13314" width="14.85546875" customWidth="1"/>
    <col min="13315" max="13315" width="14" customWidth="1"/>
    <col min="13316" max="13319" width="16.7109375" customWidth="1"/>
    <col min="13320" max="13320" width="0.42578125" customWidth="1"/>
    <col min="13548" max="13548" width="1" customWidth="1"/>
    <col min="13549" max="13549" width="3.7109375" customWidth="1"/>
    <col min="13550" max="13550" width="3.42578125" customWidth="1"/>
    <col min="13551" max="13551" width="2.7109375" customWidth="1"/>
    <col min="13552" max="13552" width="4.5703125" customWidth="1"/>
    <col min="13553" max="13553" width="5.42578125" customWidth="1"/>
    <col min="13554" max="13554" width="4.7109375" customWidth="1"/>
    <col min="13555" max="13555" width="28.140625" customWidth="1"/>
    <col min="13556" max="13556" width="12.7109375" customWidth="1"/>
    <col min="13557" max="13557" width="11.42578125" customWidth="1"/>
    <col min="13558" max="13558" width="14" customWidth="1"/>
    <col min="13559" max="13559" width="12.5703125" customWidth="1"/>
    <col min="13560" max="13561" width="13.140625" customWidth="1"/>
    <col min="13562" max="13562" width="12.7109375" customWidth="1"/>
    <col min="13563" max="13563" width="14.5703125" customWidth="1"/>
    <col min="13564" max="13564" width="0.85546875" customWidth="1"/>
    <col min="13565" max="13565" width="11.85546875" customWidth="1"/>
    <col min="13566" max="13566" width="11.7109375" customWidth="1"/>
    <col min="13567" max="13567" width="12" customWidth="1"/>
    <col min="13568" max="13568" width="12.5703125" customWidth="1"/>
    <col min="13569" max="13570" width="14.85546875" customWidth="1"/>
    <col min="13571" max="13571" width="14" customWidth="1"/>
    <col min="13572" max="13575" width="16.7109375" customWidth="1"/>
    <col min="13576" max="13576" width="0.42578125" customWidth="1"/>
    <col min="13804" max="13804" width="1" customWidth="1"/>
    <col min="13805" max="13805" width="3.7109375" customWidth="1"/>
    <col min="13806" max="13806" width="3.42578125" customWidth="1"/>
    <col min="13807" max="13807" width="2.7109375" customWidth="1"/>
    <col min="13808" max="13808" width="4.5703125" customWidth="1"/>
    <col min="13809" max="13809" width="5.42578125" customWidth="1"/>
    <col min="13810" max="13810" width="4.7109375" customWidth="1"/>
    <col min="13811" max="13811" width="28.140625" customWidth="1"/>
    <col min="13812" max="13812" width="12.7109375" customWidth="1"/>
    <col min="13813" max="13813" width="11.42578125" customWidth="1"/>
    <col min="13814" max="13814" width="14" customWidth="1"/>
    <col min="13815" max="13815" width="12.5703125" customWidth="1"/>
    <col min="13816" max="13817" width="13.140625" customWidth="1"/>
    <col min="13818" max="13818" width="12.7109375" customWidth="1"/>
    <col min="13819" max="13819" width="14.5703125" customWidth="1"/>
    <col min="13820" max="13820" width="0.85546875" customWidth="1"/>
    <col min="13821" max="13821" width="11.85546875" customWidth="1"/>
    <col min="13822" max="13822" width="11.7109375" customWidth="1"/>
    <col min="13823" max="13823" width="12" customWidth="1"/>
    <col min="13824" max="13824" width="12.5703125" customWidth="1"/>
    <col min="13825" max="13826" width="14.85546875" customWidth="1"/>
    <col min="13827" max="13827" width="14" customWidth="1"/>
    <col min="13828" max="13831" width="16.7109375" customWidth="1"/>
    <col min="13832" max="13832" width="0.42578125" customWidth="1"/>
    <col min="14060" max="14060" width="1" customWidth="1"/>
    <col min="14061" max="14061" width="3.7109375" customWidth="1"/>
    <col min="14062" max="14062" width="3.42578125" customWidth="1"/>
    <col min="14063" max="14063" width="2.7109375" customWidth="1"/>
    <col min="14064" max="14064" width="4.5703125" customWidth="1"/>
    <col min="14065" max="14065" width="5.42578125" customWidth="1"/>
    <col min="14066" max="14066" width="4.7109375" customWidth="1"/>
    <col min="14067" max="14067" width="28.140625" customWidth="1"/>
    <col min="14068" max="14068" width="12.7109375" customWidth="1"/>
    <col min="14069" max="14069" width="11.42578125" customWidth="1"/>
    <col min="14070" max="14070" width="14" customWidth="1"/>
    <col min="14071" max="14071" width="12.5703125" customWidth="1"/>
    <col min="14072" max="14073" width="13.140625" customWidth="1"/>
    <col min="14074" max="14074" width="12.7109375" customWidth="1"/>
    <col min="14075" max="14075" width="14.5703125" customWidth="1"/>
    <col min="14076" max="14076" width="0.85546875" customWidth="1"/>
    <col min="14077" max="14077" width="11.85546875" customWidth="1"/>
    <col min="14078" max="14078" width="11.7109375" customWidth="1"/>
    <col min="14079" max="14079" width="12" customWidth="1"/>
    <col min="14080" max="14080" width="12.5703125" customWidth="1"/>
    <col min="14081" max="14082" width="14.85546875" customWidth="1"/>
    <col min="14083" max="14083" width="14" customWidth="1"/>
    <col min="14084" max="14087" width="16.7109375" customWidth="1"/>
    <col min="14088" max="14088" width="0.42578125" customWidth="1"/>
    <col min="14316" max="14316" width="1" customWidth="1"/>
    <col min="14317" max="14317" width="3.7109375" customWidth="1"/>
    <col min="14318" max="14318" width="3.42578125" customWidth="1"/>
    <col min="14319" max="14319" width="2.7109375" customWidth="1"/>
    <col min="14320" max="14320" width="4.5703125" customWidth="1"/>
    <col min="14321" max="14321" width="5.42578125" customWidth="1"/>
    <col min="14322" max="14322" width="4.7109375" customWidth="1"/>
    <col min="14323" max="14323" width="28.140625" customWidth="1"/>
    <col min="14324" max="14324" width="12.7109375" customWidth="1"/>
    <col min="14325" max="14325" width="11.42578125" customWidth="1"/>
    <col min="14326" max="14326" width="14" customWidth="1"/>
    <col min="14327" max="14327" width="12.5703125" customWidth="1"/>
    <col min="14328" max="14329" width="13.140625" customWidth="1"/>
    <col min="14330" max="14330" width="12.7109375" customWidth="1"/>
    <col min="14331" max="14331" width="14.5703125" customWidth="1"/>
    <col min="14332" max="14332" width="0.85546875" customWidth="1"/>
    <col min="14333" max="14333" width="11.85546875" customWidth="1"/>
    <col min="14334" max="14334" width="11.7109375" customWidth="1"/>
    <col min="14335" max="14335" width="12" customWidth="1"/>
    <col min="14336" max="14336" width="12.5703125" customWidth="1"/>
    <col min="14337" max="14338" width="14.85546875" customWidth="1"/>
    <col min="14339" max="14339" width="14" customWidth="1"/>
    <col min="14340" max="14343" width="16.7109375" customWidth="1"/>
    <col min="14344" max="14344" width="0.42578125" customWidth="1"/>
    <col min="14572" max="14572" width="1" customWidth="1"/>
    <col min="14573" max="14573" width="3.7109375" customWidth="1"/>
    <col min="14574" max="14574" width="3.42578125" customWidth="1"/>
    <col min="14575" max="14575" width="2.7109375" customWidth="1"/>
    <col min="14576" max="14576" width="4.5703125" customWidth="1"/>
    <col min="14577" max="14577" width="5.42578125" customWidth="1"/>
    <col min="14578" max="14578" width="4.7109375" customWidth="1"/>
    <col min="14579" max="14579" width="28.140625" customWidth="1"/>
    <col min="14580" max="14580" width="12.7109375" customWidth="1"/>
    <col min="14581" max="14581" width="11.42578125" customWidth="1"/>
    <col min="14582" max="14582" width="14" customWidth="1"/>
    <col min="14583" max="14583" width="12.5703125" customWidth="1"/>
    <col min="14584" max="14585" width="13.140625" customWidth="1"/>
    <col min="14586" max="14586" width="12.7109375" customWidth="1"/>
    <col min="14587" max="14587" width="14.5703125" customWidth="1"/>
    <col min="14588" max="14588" width="0.85546875" customWidth="1"/>
    <col min="14589" max="14589" width="11.85546875" customWidth="1"/>
    <col min="14590" max="14590" width="11.7109375" customWidth="1"/>
    <col min="14591" max="14591" width="12" customWidth="1"/>
    <col min="14592" max="14592" width="12.5703125" customWidth="1"/>
    <col min="14593" max="14594" width="14.85546875" customWidth="1"/>
    <col min="14595" max="14595" width="14" customWidth="1"/>
    <col min="14596" max="14599" width="16.7109375" customWidth="1"/>
    <col min="14600" max="14600" width="0.42578125" customWidth="1"/>
    <col min="14828" max="14828" width="1" customWidth="1"/>
    <col min="14829" max="14829" width="3.7109375" customWidth="1"/>
    <col min="14830" max="14830" width="3.42578125" customWidth="1"/>
    <col min="14831" max="14831" width="2.7109375" customWidth="1"/>
    <col min="14832" max="14832" width="4.5703125" customWidth="1"/>
    <col min="14833" max="14833" width="5.42578125" customWidth="1"/>
    <col min="14834" max="14834" width="4.7109375" customWidth="1"/>
    <col min="14835" max="14835" width="28.140625" customWidth="1"/>
    <col min="14836" max="14836" width="12.7109375" customWidth="1"/>
    <col min="14837" max="14837" width="11.42578125" customWidth="1"/>
    <col min="14838" max="14838" width="14" customWidth="1"/>
    <col min="14839" max="14839" width="12.5703125" customWidth="1"/>
    <col min="14840" max="14841" width="13.140625" customWidth="1"/>
    <col min="14842" max="14842" width="12.7109375" customWidth="1"/>
    <col min="14843" max="14843" width="14.5703125" customWidth="1"/>
    <col min="14844" max="14844" width="0.85546875" customWidth="1"/>
    <col min="14845" max="14845" width="11.85546875" customWidth="1"/>
    <col min="14846" max="14846" width="11.7109375" customWidth="1"/>
    <col min="14847" max="14847" width="12" customWidth="1"/>
    <col min="14848" max="14848" width="12.5703125" customWidth="1"/>
    <col min="14849" max="14850" width="14.85546875" customWidth="1"/>
    <col min="14851" max="14851" width="14" customWidth="1"/>
    <col min="14852" max="14855" width="16.7109375" customWidth="1"/>
    <col min="14856" max="14856" width="0.42578125" customWidth="1"/>
    <col min="15084" max="15084" width="1" customWidth="1"/>
    <col min="15085" max="15085" width="3.7109375" customWidth="1"/>
    <col min="15086" max="15086" width="3.42578125" customWidth="1"/>
    <col min="15087" max="15087" width="2.7109375" customWidth="1"/>
    <col min="15088" max="15088" width="4.5703125" customWidth="1"/>
    <col min="15089" max="15089" width="5.42578125" customWidth="1"/>
    <col min="15090" max="15090" width="4.7109375" customWidth="1"/>
    <col min="15091" max="15091" width="28.140625" customWidth="1"/>
    <col min="15092" max="15092" width="12.7109375" customWidth="1"/>
    <col min="15093" max="15093" width="11.42578125" customWidth="1"/>
    <col min="15094" max="15094" width="14" customWidth="1"/>
    <col min="15095" max="15095" width="12.5703125" customWidth="1"/>
    <col min="15096" max="15097" width="13.140625" customWidth="1"/>
    <col min="15098" max="15098" width="12.7109375" customWidth="1"/>
    <col min="15099" max="15099" width="14.5703125" customWidth="1"/>
    <col min="15100" max="15100" width="0.85546875" customWidth="1"/>
    <col min="15101" max="15101" width="11.85546875" customWidth="1"/>
    <col min="15102" max="15102" width="11.7109375" customWidth="1"/>
    <col min="15103" max="15103" width="12" customWidth="1"/>
    <col min="15104" max="15104" width="12.5703125" customWidth="1"/>
    <col min="15105" max="15106" width="14.85546875" customWidth="1"/>
    <col min="15107" max="15107" width="14" customWidth="1"/>
    <col min="15108" max="15111" width="16.7109375" customWidth="1"/>
    <col min="15112" max="15112" width="0.42578125" customWidth="1"/>
    <col min="15340" max="15340" width="1" customWidth="1"/>
    <col min="15341" max="15341" width="3.7109375" customWidth="1"/>
    <col min="15342" max="15342" width="3.42578125" customWidth="1"/>
    <col min="15343" max="15343" width="2.7109375" customWidth="1"/>
    <col min="15344" max="15344" width="4.5703125" customWidth="1"/>
    <col min="15345" max="15345" width="5.42578125" customWidth="1"/>
    <col min="15346" max="15346" width="4.7109375" customWidth="1"/>
    <col min="15347" max="15347" width="28.140625" customWidth="1"/>
    <col min="15348" max="15348" width="12.7109375" customWidth="1"/>
    <col min="15349" max="15349" width="11.42578125" customWidth="1"/>
    <col min="15350" max="15350" width="14" customWidth="1"/>
    <col min="15351" max="15351" width="12.5703125" customWidth="1"/>
    <col min="15352" max="15353" width="13.140625" customWidth="1"/>
    <col min="15354" max="15354" width="12.7109375" customWidth="1"/>
    <col min="15355" max="15355" width="14.5703125" customWidth="1"/>
    <col min="15356" max="15356" width="0.85546875" customWidth="1"/>
    <col min="15357" max="15357" width="11.85546875" customWidth="1"/>
    <col min="15358" max="15358" width="11.7109375" customWidth="1"/>
    <col min="15359" max="15359" width="12" customWidth="1"/>
    <col min="15360" max="15360" width="12.5703125" customWidth="1"/>
    <col min="15361" max="15362" width="14.85546875" customWidth="1"/>
    <col min="15363" max="15363" width="14" customWidth="1"/>
    <col min="15364" max="15367" width="16.7109375" customWidth="1"/>
    <col min="15368" max="15368" width="0.42578125" customWidth="1"/>
    <col min="15596" max="15596" width="1" customWidth="1"/>
    <col min="15597" max="15597" width="3.7109375" customWidth="1"/>
    <col min="15598" max="15598" width="3.42578125" customWidth="1"/>
    <col min="15599" max="15599" width="2.7109375" customWidth="1"/>
    <col min="15600" max="15600" width="4.5703125" customWidth="1"/>
    <col min="15601" max="15601" width="5.42578125" customWidth="1"/>
    <col min="15602" max="15602" width="4.7109375" customWidth="1"/>
    <col min="15603" max="15603" width="28.140625" customWidth="1"/>
    <col min="15604" max="15604" width="12.7109375" customWidth="1"/>
    <col min="15605" max="15605" width="11.42578125" customWidth="1"/>
    <col min="15606" max="15606" width="14" customWidth="1"/>
    <col min="15607" max="15607" width="12.5703125" customWidth="1"/>
    <col min="15608" max="15609" width="13.140625" customWidth="1"/>
    <col min="15610" max="15610" width="12.7109375" customWidth="1"/>
    <col min="15611" max="15611" width="14.5703125" customWidth="1"/>
    <col min="15612" max="15612" width="0.85546875" customWidth="1"/>
    <col min="15613" max="15613" width="11.85546875" customWidth="1"/>
    <col min="15614" max="15614" width="11.7109375" customWidth="1"/>
    <col min="15615" max="15615" width="12" customWidth="1"/>
    <col min="15616" max="15616" width="12.5703125" customWidth="1"/>
    <col min="15617" max="15618" width="14.85546875" customWidth="1"/>
    <col min="15619" max="15619" width="14" customWidth="1"/>
    <col min="15620" max="15623" width="16.7109375" customWidth="1"/>
    <col min="15624" max="15624" width="0.42578125" customWidth="1"/>
    <col min="15852" max="15852" width="1" customWidth="1"/>
    <col min="15853" max="15853" width="3.7109375" customWidth="1"/>
    <col min="15854" max="15854" width="3.42578125" customWidth="1"/>
    <col min="15855" max="15855" width="2.7109375" customWidth="1"/>
    <col min="15856" max="15856" width="4.5703125" customWidth="1"/>
    <col min="15857" max="15857" width="5.42578125" customWidth="1"/>
    <col min="15858" max="15858" width="4.7109375" customWidth="1"/>
    <col min="15859" max="15859" width="28.140625" customWidth="1"/>
    <col min="15860" max="15860" width="12.7109375" customWidth="1"/>
    <col min="15861" max="15861" width="11.42578125" customWidth="1"/>
    <col min="15862" max="15862" width="14" customWidth="1"/>
    <col min="15863" max="15863" width="12.5703125" customWidth="1"/>
    <col min="15864" max="15865" width="13.140625" customWidth="1"/>
    <col min="15866" max="15866" width="12.7109375" customWidth="1"/>
    <col min="15867" max="15867" width="14.5703125" customWidth="1"/>
    <col min="15868" max="15868" width="0.85546875" customWidth="1"/>
    <col min="15869" max="15869" width="11.85546875" customWidth="1"/>
    <col min="15870" max="15870" width="11.7109375" customWidth="1"/>
    <col min="15871" max="15871" width="12" customWidth="1"/>
    <col min="15872" max="15872" width="12.5703125" customWidth="1"/>
    <col min="15873" max="15874" width="14.85546875" customWidth="1"/>
    <col min="15875" max="15875" width="14" customWidth="1"/>
    <col min="15876" max="15879" width="16.7109375" customWidth="1"/>
    <col min="15880" max="15880" width="0.42578125" customWidth="1"/>
    <col min="16108" max="16108" width="1" customWidth="1"/>
    <col min="16109" max="16109" width="3.7109375" customWidth="1"/>
    <col min="16110" max="16110" width="3.42578125" customWidth="1"/>
    <col min="16111" max="16111" width="2.7109375" customWidth="1"/>
    <col min="16112" max="16112" width="4.5703125" customWidth="1"/>
    <col min="16113" max="16113" width="5.42578125" customWidth="1"/>
    <col min="16114" max="16114" width="4.7109375" customWidth="1"/>
    <col min="16115" max="16115" width="28.140625" customWidth="1"/>
    <col min="16116" max="16116" width="12.7109375" customWidth="1"/>
    <col min="16117" max="16117" width="11.42578125" customWidth="1"/>
    <col min="16118" max="16118" width="14" customWidth="1"/>
    <col min="16119" max="16119" width="12.5703125" customWidth="1"/>
    <col min="16120" max="16121" width="13.140625" customWidth="1"/>
    <col min="16122" max="16122" width="12.7109375" customWidth="1"/>
    <col min="16123" max="16123" width="14.5703125" customWidth="1"/>
    <col min="16124" max="16124" width="0.85546875" customWidth="1"/>
    <col min="16125" max="16125" width="11.85546875" customWidth="1"/>
    <col min="16126" max="16126" width="11.7109375" customWidth="1"/>
    <col min="16127" max="16127" width="12" customWidth="1"/>
    <col min="16128" max="16128" width="12.5703125" customWidth="1"/>
    <col min="16129" max="16130" width="14.85546875" customWidth="1"/>
    <col min="16131" max="16131" width="14" customWidth="1"/>
    <col min="16132" max="16135" width="16.7109375" customWidth="1"/>
    <col min="16136" max="16136" width="0.42578125" customWidth="1"/>
  </cols>
  <sheetData>
    <row r="1" spans="1:17" x14ac:dyDescent="0.25">
      <c r="A1" t="s">
        <v>5</v>
      </c>
    </row>
    <row r="4" spans="1:17" ht="27" x14ac:dyDescent="0.35">
      <c r="B4" s="310" t="s">
        <v>932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1:17" ht="16.5" customHeight="1" x14ac:dyDescent="0.25">
      <c r="B5" s="279" t="s">
        <v>286</v>
      </c>
      <c r="C5" s="280"/>
      <c r="D5" s="280"/>
      <c r="E5" s="280"/>
      <c r="F5" s="280"/>
      <c r="G5" s="280"/>
      <c r="H5" s="280"/>
      <c r="I5" s="280"/>
      <c r="J5" s="280"/>
      <c r="K5" s="281"/>
      <c r="L5" s="185"/>
      <c r="M5" s="344" t="s">
        <v>941</v>
      </c>
      <c r="N5" s="187"/>
      <c r="O5" s="341" t="s">
        <v>942</v>
      </c>
      <c r="P5" s="191"/>
      <c r="Q5" s="341" t="s">
        <v>943</v>
      </c>
    </row>
    <row r="6" spans="1:17" ht="12.75" customHeight="1" x14ac:dyDescent="0.25">
      <c r="B6" s="282"/>
      <c r="C6" s="285" t="s">
        <v>287</v>
      </c>
      <c r="D6" s="285" t="s">
        <v>288</v>
      </c>
      <c r="E6" s="285" t="s">
        <v>289</v>
      </c>
      <c r="F6" s="285" t="s">
        <v>290</v>
      </c>
      <c r="G6" s="303" t="s">
        <v>291</v>
      </c>
      <c r="H6" s="305" t="s">
        <v>292</v>
      </c>
      <c r="I6" s="308" t="s">
        <v>935</v>
      </c>
      <c r="J6" s="171"/>
      <c r="K6" s="301" t="s">
        <v>936</v>
      </c>
      <c r="L6" s="186"/>
      <c r="M6" s="344"/>
      <c r="N6" s="187"/>
      <c r="O6" s="342"/>
      <c r="P6" s="192"/>
      <c r="Q6" s="342"/>
    </row>
    <row r="7" spans="1:17" ht="10.5" customHeight="1" x14ac:dyDescent="0.25">
      <c r="B7" s="283"/>
      <c r="C7" s="286"/>
      <c r="D7" s="286"/>
      <c r="E7" s="286"/>
      <c r="F7" s="286"/>
      <c r="G7" s="303"/>
      <c r="H7" s="306"/>
      <c r="I7" s="308"/>
      <c r="J7" s="171"/>
      <c r="K7" s="301"/>
      <c r="L7" s="186"/>
      <c r="M7" s="344"/>
      <c r="N7" s="187"/>
      <c r="O7" s="342"/>
      <c r="P7" s="192"/>
      <c r="Q7" s="342"/>
    </row>
    <row r="8" spans="1:17" ht="9" customHeight="1" x14ac:dyDescent="0.25">
      <c r="B8" s="283"/>
      <c r="C8" s="286"/>
      <c r="D8" s="286"/>
      <c r="E8" s="286"/>
      <c r="F8" s="286"/>
      <c r="G8" s="303"/>
      <c r="H8" s="306"/>
      <c r="I8" s="308"/>
      <c r="J8" s="171"/>
      <c r="K8" s="301"/>
      <c r="L8" s="186"/>
      <c r="M8" s="344"/>
      <c r="N8" s="187"/>
      <c r="O8" s="342"/>
      <c r="P8" s="192"/>
      <c r="Q8" s="342"/>
    </row>
    <row r="9" spans="1:17" ht="15.75" customHeight="1" thickBot="1" x14ac:dyDescent="0.3">
      <c r="B9" s="284"/>
      <c r="C9" s="287"/>
      <c r="D9" s="287"/>
      <c r="E9" s="287"/>
      <c r="F9" s="287"/>
      <c r="G9" s="304"/>
      <c r="H9" s="307"/>
      <c r="I9" s="309"/>
      <c r="J9" s="181"/>
      <c r="K9" s="302"/>
      <c r="L9" s="186"/>
      <c r="M9" s="344"/>
      <c r="N9" s="187"/>
      <c r="O9" s="343"/>
      <c r="P9" s="192"/>
      <c r="Q9" s="343"/>
    </row>
    <row r="10" spans="1:17" ht="16.5" thickTop="1" x14ac:dyDescent="0.25">
      <c r="B10" s="96">
        <v>1</v>
      </c>
      <c r="C10" s="290" t="s">
        <v>285</v>
      </c>
      <c r="D10" s="291"/>
      <c r="E10" s="291"/>
      <c r="F10" s="291"/>
      <c r="G10" s="291"/>
      <c r="H10" s="292"/>
      <c r="I10" s="44">
        <f>I11+I17+I18+I22+I23+I24</f>
        <v>478100</v>
      </c>
      <c r="J10" s="182"/>
      <c r="K10" s="44">
        <f>K11+K17+K18+K22+K23+K24</f>
        <v>425000</v>
      </c>
      <c r="L10" s="182"/>
      <c r="M10" s="44">
        <f>K10+I10</f>
        <v>903100</v>
      </c>
      <c r="N10" s="188"/>
      <c r="O10" s="44">
        <f>O24+O23+O22+O18+O17+O11</f>
        <v>479000</v>
      </c>
      <c r="P10" s="188"/>
      <c r="Q10" s="44">
        <f>Q24+Q23+Q22+Q18+Q17+Q11</f>
        <v>479000</v>
      </c>
    </row>
    <row r="11" spans="1:17" ht="15.75" x14ac:dyDescent="0.25">
      <c r="B11" s="97">
        <f>B10+1</f>
        <v>2</v>
      </c>
      <c r="C11" s="45">
        <v>1</v>
      </c>
      <c r="D11" s="293" t="s">
        <v>300</v>
      </c>
      <c r="E11" s="294"/>
      <c r="F11" s="294"/>
      <c r="G11" s="294"/>
      <c r="H11" s="295"/>
      <c r="I11" s="46">
        <f>I12+I13+I14+I15+I16</f>
        <v>184700</v>
      </c>
      <c r="J11" s="183"/>
      <c r="K11" s="46">
        <f>K12+K13+K14+K15+K16</f>
        <v>0</v>
      </c>
      <c r="L11" s="183"/>
      <c r="M11" s="46">
        <f t="shared" ref="M11:M24" si="0">K11+I11</f>
        <v>184700</v>
      </c>
      <c r="N11" s="189"/>
      <c r="O11" s="46">
        <f>O16+O15+O14+O13+O12</f>
        <v>185000</v>
      </c>
      <c r="P11" s="189"/>
      <c r="Q11" s="46">
        <f>Q16+Q15+Q14+Q13+Q12</f>
        <v>185000</v>
      </c>
    </row>
    <row r="12" spans="1:17" x14ac:dyDescent="0.25">
      <c r="B12" s="97">
        <f t="shared" ref="B12" si="1">B11+1</f>
        <v>3</v>
      </c>
      <c r="C12" s="47"/>
      <c r="D12" s="47">
        <v>1</v>
      </c>
      <c r="E12" s="296" t="s">
        <v>301</v>
      </c>
      <c r="F12" s="294"/>
      <c r="G12" s="294"/>
      <c r="H12" s="295"/>
      <c r="I12" s="48">
        <f>Výdavky!I10</f>
        <v>17000</v>
      </c>
      <c r="J12" s="184"/>
      <c r="K12" s="48">
        <v>0</v>
      </c>
      <c r="L12" s="184"/>
      <c r="M12" s="48">
        <f t="shared" si="0"/>
        <v>17000</v>
      </c>
      <c r="N12" s="190"/>
      <c r="O12" s="48">
        <v>17000</v>
      </c>
      <c r="P12" s="190"/>
      <c r="Q12" s="48">
        <v>17000</v>
      </c>
    </row>
    <row r="13" spans="1:17" x14ac:dyDescent="0.25">
      <c r="B13" s="97">
        <f>B12+1</f>
        <v>4</v>
      </c>
      <c r="C13" s="47"/>
      <c r="D13" s="47">
        <v>2</v>
      </c>
      <c r="E13" s="296" t="s">
        <v>309</v>
      </c>
      <c r="F13" s="294"/>
      <c r="G13" s="294"/>
      <c r="H13" s="295"/>
      <c r="I13" s="48">
        <f>Výdavky!I19</f>
        <v>1000</v>
      </c>
      <c r="J13" s="184"/>
      <c r="K13" s="48">
        <v>0</v>
      </c>
      <c r="L13" s="184"/>
      <c r="M13" s="48">
        <f t="shared" si="0"/>
        <v>1000</v>
      </c>
      <c r="N13" s="190"/>
      <c r="O13" s="48">
        <v>1000</v>
      </c>
      <c r="P13" s="190"/>
      <c r="Q13" s="48">
        <v>1000</v>
      </c>
    </row>
    <row r="14" spans="1:17" x14ac:dyDescent="0.25">
      <c r="B14" s="97">
        <f t="shared" ref="B14:B23" si="2">B13+1</f>
        <v>5</v>
      </c>
      <c r="C14" s="47"/>
      <c r="D14" s="47">
        <v>3</v>
      </c>
      <c r="E14" s="296" t="s">
        <v>310</v>
      </c>
      <c r="F14" s="294"/>
      <c r="G14" s="294"/>
      <c r="H14" s="295"/>
      <c r="I14" s="48">
        <f>Výdavky!I24</f>
        <v>1000</v>
      </c>
      <c r="J14" s="184"/>
      <c r="K14" s="48">
        <v>0</v>
      </c>
      <c r="L14" s="184"/>
      <c r="M14" s="48">
        <f t="shared" si="0"/>
        <v>1000</v>
      </c>
      <c r="N14" s="190"/>
      <c r="O14" s="48">
        <v>1000</v>
      </c>
      <c r="P14" s="190"/>
      <c r="Q14" s="48">
        <v>1000</v>
      </c>
    </row>
    <row r="15" spans="1:17" x14ac:dyDescent="0.25">
      <c r="B15" s="97">
        <f t="shared" si="2"/>
        <v>6</v>
      </c>
      <c r="C15" s="47"/>
      <c r="D15" s="47">
        <v>4</v>
      </c>
      <c r="E15" s="296" t="s">
        <v>311</v>
      </c>
      <c r="F15" s="294"/>
      <c r="G15" s="294"/>
      <c r="H15" s="295"/>
      <c r="I15" s="48">
        <f>Výdavky!I29</f>
        <v>1000</v>
      </c>
      <c r="J15" s="184"/>
      <c r="K15" s="48">
        <v>0</v>
      </c>
      <c r="L15" s="184"/>
      <c r="M15" s="48">
        <f t="shared" si="0"/>
        <v>1000</v>
      </c>
      <c r="N15" s="190"/>
      <c r="O15" s="48">
        <v>1000</v>
      </c>
      <c r="P15" s="190"/>
      <c r="Q15" s="48">
        <v>1000</v>
      </c>
    </row>
    <row r="16" spans="1:17" x14ac:dyDescent="0.25">
      <c r="B16" s="97">
        <f t="shared" si="2"/>
        <v>7</v>
      </c>
      <c r="C16" s="47"/>
      <c r="D16" s="47">
        <v>5</v>
      </c>
      <c r="E16" s="296" t="s">
        <v>312</v>
      </c>
      <c r="F16" s="294"/>
      <c r="G16" s="294"/>
      <c r="H16" s="295"/>
      <c r="I16" s="48">
        <f>Výdavky!I34</f>
        <v>164700</v>
      </c>
      <c r="J16" s="184"/>
      <c r="K16" s="48">
        <v>0</v>
      </c>
      <c r="L16" s="184"/>
      <c r="M16" s="48">
        <f t="shared" si="0"/>
        <v>164700</v>
      </c>
      <c r="N16" s="190"/>
      <c r="O16" s="48">
        <v>165000</v>
      </c>
      <c r="P16" s="190"/>
      <c r="Q16" s="48">
        <v>165000</v>
      </c>
    </row>
    <row r="17" spans="2:17" ht="15.75" x14ac:dyDescent="0.25">
      <c r="B17" s="97">
        <f t="shared" si="2"/>
        <v>8</v>
      </c>
      <c r="C17" s="45">
        <v>2</v>
      </c>
      <c r="D17" s="293" t="s">
        <v>317</v>
      </c>
      <c r="E17" s="294"/>
      <c r="F17" s="294"/>
      <c r="G17" s="294"/>
      <c r="H17" s="295"/>
      <c r="I17" s="46">
        <f>Výdavky!I42</f>
        <v>160200</v>
      </c>
      <c r="J17" s="183"/>
      <c r="K17" s="46">
        <f>Výdavky!N42</f>
        <v>125000</v>
      </c>
      <c r="L17" s="183"/>
      <c r="M17" s="46">
        <f t="shared" si="0"/>
        <v>285200</v>
      </c>
      <c r="N17" s="189"/>
      <c r="O17" s="46">
        <v>160000</v>
      </c>
      <c r="P17" s="189"/>
      <c r="Q17" s="46">
        <v>160000</v>
      </c>
    </row>
    <row r="18" spans="2:17" ht="15.75" x14ac:dyDescent="0.25">
      <c r="B18" s="97">
        <f t="shared" si="2"/>
        <v>9</v>
      </c>
      <c r="C18" s="45">
        <v>3</v>
      </c>
      <c r="D18" s="293" t="s">
        <v>326</v>
      </c>
      <c r="E18" s="294"/>
      <c r="F18" s="294"/>
      <c r="G18" s="294"/>
      <c r="H18" s="295"/>
      <c r="I18" s="46">
        <f>Výdavky!I60</f>
        <v>45000</v>
      </c>
      <c r="J18" s="183"/>
      <c r="K18" s="46">
        <f>Výdavky!N60</f>
        <v>300000</v>
      </c>
      <c r="L18" s="183"/>
      <c r="M18" s="46">
        <f t="shared" si="0"/>
        <v>345000</v>
      </c>
      <c r="N18" s="189"/>
      <c r="O18" s="46">
        <v>45000</v>
      </c>
      <c r="P18" s="189"/>
      <c r="Q18" s="46">
        <v>45000</v>
      </c>
    </row>
    <row r="19" spans="2:17" ht="15.75" x14ac:dyDescent="0.25">
      <c r="B19" s="97">
        <f t="shared" si="2"/>
        <v>10</v>
      </c>
      <c r="C19" s="45">
        <v>4</v>
      </c>
      <c r="D19" s="293" t="s">
        <v>915</v>
      </c>
      <c r="E19" s="294"/>
      <c r="F19" s="294"/>
      <c r="G19" s="294"/>
      <c r="H19" s="295"/>
      <c r="I19" s="46">
        <v>0</v>
      </c>
      <c r="J19" s="183"/>
      <c r="K19" s="46">
        <v>0</v>
      </c>
      <c r="L19" s="183"/>
      <c r="M19" s="46">
        <f t="shared" si="0"/>
        <v>0</v>
      </c>
      <c r="N19" s="189"/>
      <c r="O19" s="46">
        <v>0</v>
      </c>
      <c r="P19" s="189"/>
      <c r="Q19" s="46">
        <v>0</v>
      </c>
    </row>
    <row r="20" spans="2:17" ht="15.75" x14ac:dyDescent="0.25">
      <c r="B20" s="97">
        <f t="shared" si="2"/>
        <v>11</v>
      </c>
      <c r="C20" s="45">
        <v>5</v>
      </c>
      <c r="D20" s="293" t="s">
        <v>916</v>
      </c>
      <c r="E20" s="294"/>
      <c r="F20" s="294"/>
      <c r="G20" s="294"/>
      <c r="H20" s="295"/>
      <c r="I20" s="46">
        <v>0</v>
      </c>
      <c r="J20" s="183"/>
      <c r="K20" s="46">
        <v>0</v>
      </c>
      <c r="L20" s="183"/>
      <c r="M20" s="46">
        <f t="shared" si="0"/>
        <v>0</v>
      </c>
      <c r="N20" s="189"/>
      <c r="O20" s="46">
        <v>0</v>
      </c>
      <c r="P20" s="189"/>
      <c r="Q20" s="46">
        <v>0</v>
      </c>
    </row>
    <row r="21" spans="2:17" ht="15.75" x14ac:dyDescent="0.25">
      <c r="B21" s="97">
        <f t="shared" si="2"/>
        <v>12</v>
      </c>
      <c r="C21" s="45">
        <v>6</v>
      </c>
      <c r="D21" s="293" t="s">
        <v>917</v>
      </c>
      <c r="E21" s="294"/>
      <c r="F21" s="294"/>
      <c r="G21" s="294"/>
      <c r="H21" s="295"/>
      <c r="I21" s="46">
        <v>0</v>
      </c>
      <c r="J21" s="183"/>
      <c r="K21" s="46">
        <v>0</v>
      </c>
      <c r="L21" s="183"/>
      <c r="M21" s="46">
        <f t="shared" si="0"/>
        <v>0</v>
      </c>
      <c r="N21" s="189"/>
      <c r="O21" s="46">
        <v>0</v>
      </c>
      <c r="P21" s="189"/>
      <c r="Q21" s="46">
        <v>0</v>
      </c>
    </row>
    <row r="22" spans="2:17" ht="15.75" x14ac:dyDescent="0.25">
      <c r="B22" s="97">
        <f t="shared" si="2"/>
        <v>13</v>
      </c>
      <c r="C22" s="45">
        <v>7</v>
      </c>
      <c r="D22" s="293" t="s">
        <v>703</v>
      </c>
      <c r="E22" s="294"/>
      <c r="F22" s="294"/>
      <c r="G22" s="294"/>
      <c r="H22" s="295"/>
      <c r="I22" s="46">
        <f>Výdavky!I84</f>
        <v>72200</v>
      </c>
      <c r="J22" s="183"/>
      <c r="K22" s="46">
        <v>0</v>
      </c>
      <c r="L22" s="183"/>
      <c r="M22" s="46">
        <f t="shared" si="0"/>
        <v>72200</v>
      </c>
      <c r="N22" s="189"/>
      <c r="O22" s="46">
        <v>73000</v>
      </c>
      <c r="P22" s="189"/>
      <c r="Q22" s="46">
        <v>73000</v>
      </c>
    </row>
    <row r="23" spans="2:17" ht="15.75" x14ac:dyDescent="0.25">
      <c r="B23" s="97">
        <f t="shared" si="2"/>
        <v>14</v>
      </c>
      <c r="C23" s="45">
        <v>8</v>
      </c>
      <c r="D23" s="293" t="s">
        <v>704</v>
      </c>
      <c r="E23" s="294"/>
      <c r="F23" s="294"/>
      <c r="G23" s="294"/>
      <c r="H23" s="295"/>
      <c r="I23" s="46">
        <f>Výdavky!I95</f>
        <v>16000</v>
      </c>
      <c r="J23" s="183"/>
      <c r="K23" s="46">
        <v>0</v>
      </c>
      <c r="L23" s="183"/>
      <c r="M23" s="46">
        <f t="shared" si="0"/>
        <v>16000</v>
      </c>
      <c r="N23" s="189"/>
      <c r="O23" s="46">
        <v>16000</v>
      </c>
      <c r="P23" s="189"/>
      <c r="Q23" s="46">
        <v>16000</v>
      </c>
    </row>
    <row r="24" spans="2:17" ht="15.75" x14ac:dyDescent="0.25">
      <c r="B24" s="97">
        <f t="shared" ref="B24" si="3">B23+1</f>
        <v>15</v>
      </c>
      <c r="C24" s="45">
        <v>9</v>
      </c>
      <c r="D24" s="293" t="s">
        <v>336</v>
      </c>
      <c r="E24" s="294"/>
      <c r="F24" s="294"/>
      <c r="G24" s="294"/>
      <c r="H24" s="295"/>
      <c r="I24" s="46">
        <f>Výdavky!I102</f>
        <v>0</v>
      </c>
      <c r="J24" s="183"/>
      <c r="K24" s="46">
        <v>0</v>
      </c>
      <c r="L24" s="183"/>
      <c r="M24" s="46">
        <f t="shared" si="0"/>
        <v>0</v>
      </c>
      <c r="N24" s="189"/>
      <c r="O24" s="46">
        <v>0</v>
      </c>
      <c r="P24" s="189"/>
      <c r="Q24" s="46">
        <v>0</v>
      </c>
    </row>
    <row r="26" spans="2:17" ht="27" x14ac:dyDescent="0.35">
      <c r="B26" s="310" t="s">
        <v>339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</row>
    <row r="27" spans="2:17" ht="15.75" customHeight="1" x14ac:dyDescent="0.25">
      <c r="B27" s="279" t="s">
        <v>286</v>
      </c>
      <c r="C27" s="280"/>
      <c r="D27" s="280"/>
      <c r="E27" s="280"/>
      <c r="F27" s="280"/>
      <c r="G27" s="280"/>
      <c r="H27" s="280"/>
      <c r="I27" s="280"/>
      <c r="J27" s="280"/>
      <c r="K27" s="281"/>
      <c r="L27" s="185"/>
      <c r="M27" s="344" t="s">
        <v>941</v>
      </c>
      <c r="N27" s="187"/>
      <c r="O27" s="341" t="s">
        <v>942</v>
      </c>
      <c r="P27" s="191"/>
      <c r="Q27" s="341" t="s">
        <v>943</v>
      </c>
    </row>
    <row r="28" spans="2:17" ht="12.75" customHeight="1" x14ac:dyDescent="0.25">
      <c r="B28" s="282"/>
      <c r="C28" s="285" t="s">
        <v>287</v>
      </c>
      <c r="D28" s="285" t="s">
        <v>288</v>
      </c>
      <c r="E28" s="285" t="s">
        <v>289</v>
      </c>
      <c r="F28" s="285" t="s">
        <v>290</v>
      </c>
      <c r="G28" s="303" t="s">
        <v>291</v>
      </c>
      <c r="H28" s="305" t="s">
        <v>292</v>
      </c>
      <c r="I28" s="308" t="s">
        <v>935</v>
      </c>
      <c r="J28" s="171"/>
      <c r="K28" s="301" t="s">
        <v>936</v>
      </c>
      <c r="L28" s="186"/>
      <c r="M28" s="344"/>
      <c r="N28" s="187"/>
      <c r="O28" s="342"/>
      <c r="P28" s="192"/>
      <c r="Q28" s="342"/>
    </row>
    <row r="29" spans="2:17" x14ac:dyDescent="0.25">
      <c r="B29" s="283"/>
      <c r="C29" s="286"/>
      <c r="D29" s="286"/>
      <c r="E29" s="286"/>
      <c r="F29" s="286"/>
      <c r="G29" s="303"/>
      <c r="H29" s="306"/>
      <c r="I29" s="308"/>
      <c r="J29" s="171"/>
      <c r="K29" s="301"/>
      <c r="L29" s="186"/>
      <c r="M29" s="344"/>
      <c r="N29" s="187"/>
      <c r="O29" s="342"/>
      <c r="P29" s="192"/>
      <c r="Q29" s="342"/>
    </row>
    <row r="30" spans="2:17" x14ac:dyDescent="0.25">
      <c r="B30" s="283"/>
      <c r="C30" s="286"/>
      <c r="D30" s="286"/>
      <c r="E30" s="286"/>
      <c r="F30" s="286"/>
      <c r="G30" s="303"/>
      <c r="H30" s="306"/>
      <c r="I30" s="308"/>
      <c r="J30" s="171"/>
      <c r="K30" s="301"/>
      <c r="L30" s="186"/>
      <c r="M30" s="344"/>
      <c r="N30" s="187"/>
      <c r="O30" s="342"/>
      <c r="P30" s="192"/>
      <c r="Q30" s="342"/>
    </row>
    <row r="31" spans="2:17" ht="15.75" thickBot="1" x14ac:dyDescent="0.3">
      <c r="B31" s="284"/>
      <c r="C31" s="287"/>
      <c r="D31" s="287"/>
      <c r="E31" s="287"/>
      <c r="F31" s="287"/>
      <c r="G31" s="304"/>
      <c r="H31" s="307"/>
      <c r="I31" s="309"/>
      <c r="J31" s="181"/>
      <c r="K31" s="302"/>
      <c r="L31" s="186"/>
      <c r="M31" s="344"/>
      <c r="N31" s="187"/>
      <c r="O31" s="343"/>
      <c r="P31" s="192"/>
      <c r="Q31" s="343"/>
    </row>
    <row r="32" spans="2:17" ht="16.5" thickTop="1" x14ac:dyDescent="0.25">
      <c r="B32" s="98">
        <v>1</v>
      </c>
      <c r="C32" s="290" t="s">
        <v>663</v>
      </c>
      <c r="D32" s="291"/>
      <c r="E32" s="291"/>
      <c r="F32" s="291"/>
      <c r="G32" s="291"/>
      <c r="H32" s="292"/>
      <c r="I32" s="44">
        <f>I33+I34</f>
        <v>84020</v>
      </c>
      <c r="J32" s="182"/>
      <c r="K32" s="44">
        <f>K34+K33</f>
        <v>0</v>
      </c>
      <c r="L32" s="182"/>
      <c r="M32" s="44">
        <f>I32</f>
        <v>84020</v>
      </c>
      <c r="N32" s="188"/>
      <c r="O32" s="44">
        <f>O34+O33</f>
        <v>103000</v>
      </c>
      <c r="P32" s="188"/>
      <c r="Q32" s="44">
        <f>Q34+Q33</f>
        <v>103000</v>
      </c>
    </row>
    <row r="33" spans="2:17" ht="15.75" x14ac:dyDescent="0.25">
      <c r="B33" s="97">
        <f>B32+1</f>
        <v>2</v>
      </c>
      <c r="C33" s="45">
        <v>1</v>
      </c>
      <c r="D33" s="293" t="s">
        <v>340</v>
      </c>
      <c r="E33" s="294"/>
      <c r="F33" s="294"/>
      <c r="G33" s="294"/>
      <c r="H33" s="295"/>
      <c r="I33" s="46">
        <f>Výdavky!I122</f>
        <v>52500</v>
      </c>
      <c r="J33" s="183"/>
      <c r="K33" s="46">
        <v>0</v>
      </c>
      <c r="L33" s="183"/>
      <c r="M33" s="46">
        <f t="shared" ref="M33:M34" si="4">I33</f>
        <v>52500</v>
      </c>
      <c r="N33" s="189"/>
      <c r="O33" s="46">
        <v>53000</v>
      </c>
      <c r="P33" s="189"/>
      <c r="Q33" s="46">
        <v>53000</v>
      </c>
    </row>
    <row r="34" spans="2:17" ht="15.75" x14ac:dyDescent="0.25">
      <c r="B34" s="97">
        <v>3</v>
      </c>
      <c r="C34" s="45">
        <v>2</v>
      </c>
      <c r="D34" s="293" t="s">
        <v>345</v>
      </c>
      <c r="E34" s="294"/>
      <c r="F34" s="294"/>
      <c r="G34" s="294"/>
      <c r="H34" s="295"/>
      <c r="I34" s="46">
        <f>Výdavky!I131</f>
        <v>31520</v>
      </c>
      <c r="J34" s="183"/>
      <c r="K34" s="46">
        <v>0</v>
      </c>
      <c r="L34" s="183"/>
      <c r="M34" s="46">
        <f t="shared" si="4"/>
        <v>31520</v>
      </c>
      <c r="N34" s="189"/>
      <c r="O34" s="46">
        <v>50000</v>
      </c>
      <c r="P34" s="189"/>
      <c r="Q34" s="46">
        <v>50000</v>
      </c>
    </row>
    <row r="44" spans="2:17" ht="27" x14ac:dyDescent="0.35">
      <c r="B44" s="310" t="s">
        <v>346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</row>
    <row r="45" spans="2:17" ht="15.75" customHeight="1" x14ac:dyDescent="0.25">
      <c r="B45" s="279" t="s">
        <v>286</v>
      </c>
      <c r="C45" s="280"/>
      <c r="D45" s="280"/>
      <c r="E45" s="280"/>
      <c r="F45" s="280"/>
      <c r="G45" s="280"/>
      <c r="H45" s="280"/>
      <c r="I45" s="280"/>
      <c r="J45" s="280"/>
      <c r="K45" s="281"/>
      <c r="L45" s="185"/>
      <c r="M45" s="344" t="s">
        <v>941</v>
      </c>
      <c r="N45" s="187"/>
      <c r="O45" s="341" t="s">
        <v>942</v>
      </c>
      <c r="P45" s="191"/>
      <c r="Q45" s="341" t="s">
        <v>943</v>
      </c>
    </row>
    <row r="46" spans="2:17" ht="12.75" customHeight="1" x14ac:dyDescent="0.25">
      <c r="B46" s="282"/>
      <c r="C46" s="285" t="s">
        <v>287</v>
      </c>
      <c r="D46" s="285" t="s">
        <v>288</v>
      </c>
      <c r="E46" s="285" t="s">
        <v>289</v>
      </c>
      <c r="F46" s="285" t="s">
        <v>290</v>
      </c>
      <c r="G46" s="303" t="s">
        <v>291</v>
      </c>
      <c r="H46" s="305" t="s">
        <v>292</v>
      </c>
      <c r="I46" s="308" t="s">
        <v>935</v>
      </c>
      <c r="J46" s="171"/>
      <c r="K46" s="301" t="s">
        <v>936</v>
      </c>
      <c r="L46" s="186"/>
      <c r="M46" s="344"/>
      <c r="N46" s="187"/>
      <c r="O46" s="342"/>
      <c r="P46" s="192"/>
      <c r="Q46" s="342"/>
    </row>
    <row r="47" spans="2:17" x14ac:dyDescent="0.25">
      <c r="B47" s="283"/>
      <c r="C47" s="286"/>
      <c r="D47" s="286"/>
      <c r="E47" s="286"/>
      <c r="F47" s="286"/>
      <c r="G47" s="303"/>
      <c r="H47" s="306"/>
      <c r="I47" s="308"/>
      <c r="J47" s="171"/>
      <c r="K47" s="301"/>
      <c r="L47" s="186"/>
      <c r="M47" s="344"/>
      <c r="N47" s="187"/>
      <c r="O47" s="342"/>
      <c r="P47" s="192"/>
      <c r="Q47" s="342"/>
    </row>
    <row r="48" spans="2:17" x14ac:dyDescent="0.25">
      <c r="B48" s="283"/>
      <c r="C48" s="286"/>
      <c r="D48" s="286"/>
      <c r="E48" s="286"/>
      <c r="F48" s="286"/>
      <c r="G48" s="303"/>
      <c r="H48" s="306"/>
      <c r="I48" s="308"/>
      <c r="J48" s="171"/>
      <c r="K48" s="301"/>
      <c r="L48" s="186"/>
      <c r="M48" s="344"/>
      <c r="N48" s="187"/>
      <c r="O48" s="342"/>
      <c r="P48" s="192"/>
      <c r="Q48" s="342"/>
    </row>
    <row r="49" spans="2:17" ht="15.75" thickBot="1" x14ac:dyDescent="0.3">
      <c r="B49" s="284"/>
      <c r="C49" s="287"/>
      <c r="D49" s="287"/>
      <c r="E49" s="287"/>
      <c r="F49" s="287"/>
      <c r="G49" s="304"/>
      <c r="H49" s="307"/>
      <c r="I49" s="309"/>
      <c r="J49" s="181"/>
      <c r="K49" s="302"/>
      <c r="L49" s="186"/>
      <c r="M49" s="344"/>
      <c r="N49" s="187"/>
      <c r="O49" s="343"/>
      <c r="P49" s="192"/>
      <c r="Q49" s="343"/>
    </row>
    <row r="50" spans="2:17" ht="16.5" thickTop="1" x14ac:dyDescent="0.25">
      <c r="B50" s="98">
        <v>1</v>
      </c>
      <c r="C50" s="290" t="s">
        <v>346</v>
      </c>
      <c r="D50" s="291"/>
      <c r="E50" s="291"/>
      <c r="F50" s="291"/>
      <c r="G50" s="291"/>
      <c r="H50" s="292"/>
      <c r="I50" s="44">
        <f>I51+I52+I56+I57+I58+I59+I60+I61</f>
        <v>3985570</v>
      </c>
      <c r="J50" s="182"/>
      <c r="K50" s="44">
        <f>K51+K52+K56+K57+K58+K59+K60+K61</f>
        <v>801415</v>
      </c>
      <c r="L50" s="182"/>
      <c r="M50" s="44">
        <f>K50+I50</f>
        <v>4786985</v>
      </c>
      <c r="N50" s="188"/>
      <c r="O50" s="44">
        <f>O61+O60+O59+O58+O57+O56+O52+O51</f>
        <v>3946300</v>
      </c>
      <c r="P50" s="188"/>
      <c r="Q50" s="44">
        <f>Q61+Q60+Q59+Q58+Q57+Q56+Q52+Q51</f>
        <v>3946300</v>
      </c>
    </row>
    <row r="51" spans="2:17" ht="15.75" x14ac:dyDescent="0.25">
      <c r="B51" s="97">
        <f>B50+1</f>
        <v>2</v>
      </c>
      <c r="C51" s="45">
        <v>1</v>
      </c>
      <c r="D51" s="293" t="s">
        <v>347</v>
      </c>
      <c r="E51" s="294"/>
      <c r="F51" s="294"/>
      <c r="G51" s="294"/>
      <c r="H51" s="295"/>
      <c r="I51" s="46">
        <f>Výdavky!I155</f>
        <v>106000</v>
      </c>
      <c r="J51" s="183"/>
      <c r="K51" s="46">
        <v>0</v>
      </c>
      <c r="L51" s="183"/>
      <c r="M51" s="46">
        <f t="shared" ref="M51:M61" si="5">K51+I51</f>
        <v>106000</v>
      </c>
      <c r="N51" s="189"/>
      <c r="O51" s="46">
        <v>55000</v>
      </c>
      <c r="P51" s="189"/>
      <c r="Q51" s="46">
        <v>55000</v>
      </c>
    </row>
    <row r="52" spans="2:17" ht="15.75" x14ac:dyDescent="0.25">
      <c r="B52" s="97">
        <v>3</v>
      </c>
      <c r="C52" s="45">
        <v>2</v>
      </c>
      <c r="D52" s="293" t="s">
        <v>348</v>
      </c>
      <c r="E52" s="294"/>
      <c r="F52" s="294"/>
      <c r="G52" s="294"/>
      <c r="H52" s="295"/>
      <c r="I52" s="46">
        <f>I53+I54+I55</f>
        <v>93520</v>
      </c>
      <c r="J52" s="183"/>
      <c r="K52" s="46">
        <f>K53+K54+K55</f>
        <v>479605</v>
      </c>
      <c r="L52" s="183"/>
      <c r="M52" s="46">
        <f t="shared" si="5"/>
        <v>573125</v>
      </c>
      <c r="N52" s="189"/>
      <c r="O52" s="46">
        <f>O55+O54+O53</f>
        <v>95300</v>
      </c>
      <c r="P52" s="189"/>
      <c r="Q52" s="46">
        <f>Q55+Q54+Q53</f>
        <v>95300</v>
      </c>
    </row>
    <row r="53" spans="2:17" x14ac:dyDescent="0.25">
      <c r="B53" s="97">
        <v>4</v>
      </c>
      <c r="C53" s="47"/>
      <c r="D53" s="47">
        <v>1</v>
      </c>
      <c r="E53" s="296" t="s">
        <v>349</v>
      </c>
      <c r="F53" s="294"/>
      <c r="G53" s="294"/>
      <c r="H53" s="295"/>
      <c r="I53" s="48">
        <f>Výdavky!I162</f>
        <v>2300</v>
      </c>
      <c r="J53" s="184"/>
      <c r="K53" s="48">
        <v>0</v>
      </c>
      <c r="L53" s="184"/>
      <c r="M53" s="48">
        <f t="shared" si="5"/>
        <v>2300</v>
      </c>
      <c r="N53" s="190"/>
      <c r="O53" s="48">
        <v>2300</v>
      </c>
      <c r="P53" s="190"/>
      <c r="Q53" s="48">
        <v>2300</v>
      </c>
    </row>
    <row r="54" spans="2:17" x14ac:dyDescent="0.25">
      <c r="B54" s="97">
        <v>5</v>
      </c>
      <c r="C54" s="47"/>
      <c r="D54" s="47">
        <v>2</v>
      </c>
      <c r="E54" s="296" t="s">
        <v>350</v>
      </c>
      <c r="F54" s="294"/>
      <c r="G54" s="294"/>
      <c r="H54" s="295"/>
      <c r="I54" s="48">
        <f>Výdavky!I167</f>
        <v>20160</v>
      </c>
      <c r="J54" s="184"/>
      <c r="K54" s="48">
        <f>Výdavky!N167</f>
        <v>182175</v>
      </c>
      <c r="L54" s="184"/>
      <c r="M54" s="48">
        <f t="shared" si="5"/>
        <v>202335</v>
      </c>
      <c r="N54" s="190"/>
      <c r="O54" s="48">
        <v>21000</v>
      </c>
      <c r="P54" s="190"/>
      <c r="Q54" s="48">
        <v>21000</v>
      </c>
    </row>
    <row r="55" spans="2:17" x14ac:dyDescent="0.25">
      <c r="B55" s="97">
        <v>6</v>
      </c>
      <c r="C55" s="47"/>
      <c r="D55" s="47">
        <v>3</v>
      </c>
      <c r="E55" s="296" t="s">
        <v>352</v>
      </c>
      <c r="F55" s="312"/>
      <c r="G55" s="312"/>
      <c r="H55" s="313"/>
      <c r="I55" s="48">
        <f>Výdavky!I179</f>
        <v>71060</v>
      </c>
      <c r="J55" s="184"/>
      <c r="K55" s="48">
        <f>Výdavky!N179</f>
        <v>297430</v>
      </c>
      <c r="L55" s="184"/>
      <c r="M55" s="48">
        <f t="shared" si="5"/>
        <v>368490</v>
      </c>
      <c r="N55" s="190"/>
      <c r="O55" s="48">
        <v>72000</v>
      </c>
      <c r="P55" s="190"/>
      <c r="Q55" s="48">
        <v>72000</v>
      </c>
    </row>
    <row r="56" spans="2:17" ht="15.75" x14ac:dyDescent="0.25">
      <c r="B56" s="97">
        <v>7</v>
      </c>
      <c r="C56" s="45">
        <v>3</v>
      </c>
      <c r="D56" s="293" t="s">
        <v>354</v>
      </c>
      <c r="E56" s="294"/>
      <c r="F56" s="294"/>
      <c r="G56" s="294"/>
      <c r="H56" s="295"/>
      <c r="I56" s="46">
        <f>Výdavky!I189</f>
        <v>16000</v>
      </c>
      <c r="J56" s="183"/>
      <c r="K56" s="46">
        <v>0</v>
      </c>
      <c r="L56" s="183"/>
      <c r="M56" s="46">
        <f t="shared" si="5"/>
        <v>16000</v>
      </c>
      <c r="N56" s="189"/>
      <c r="O56" s="46">
        <v>16000</v>
      </c>
      <c r="P56" s="189"/>
      <c r="Q56" s="46">
        <v>16000</v>
      </c>
    </row>
    <row r="57" spans="2:17" ht="15.75" x14ac:dyDescent="0.25">
      <c r="B57" s="97">
        <v>8</v>
      </c>
      <c r="C57" s="45">
        <v>4</v>
      </c>
      <c r="D57" s="293" t="s">
        <v>73</v>
      </c>
      <c r="E57" s="294"/>
      <c r="F57" s="294"/>
      <c r="G57" s="294"/>
      <c r="H57" s="295"/>
      <c r="I57" s="46">
        <f>Výdavky!I196</f>
        <v>257765</v>
      </c>
      <c r="J57" s="183"/>
      <c r="K57" s="46">
        <f>Výdavky!N196</f>
        <v>267810</v>
      </c>
      <c r="L57" s="183"/>
      <c r="M57" s="46">
        <f t="shared" si="5"/>
        <v>525575</v>
      </c>
      <c r="N57" s="189"/>
      <c r="O57" s="46">
        <v>258000</v>
      </c>
      <c r="P57" s="189"/>
      <c r="Q57" s="46">
        <v>258000</v>
      </c>
    </row>
    <row r="58" spans="2:17" ht="15.75" x14ac:dyDescent="0.25">
      <c r="B58" s="97">
        <v>9</v>
      </c>
      <c r="C58" s="45">
        <v>5</v>
      </c>
      <c r="D58" s="293" t="s">
        <v>358</v>
      </c>
      <c r="E58" s="294"/>
      <c r="F58" s="294"/>
      <c r="G58" s="294"/>
      <c r="H58" s="295"/>
      <c r="I58" s="46">
        <f>Výdavky!I233</f>
        <v>3290765</v>
      </c>
      <c r="J58" s="183"/>
      <c r="K58" s="46">
        <f>Výdavky!N233</f>
        <v>0</v>
      </c>
      <c r="L58" s="183"/>
      <c r="M58" s="46">
        <f t="shared" si="5"/>
        <v>3290765</v>
      </c>
      <c r="N58" s="189"/>
      <c r="O58" s="46">
        <v>3300000</v>
      </c>
      <c r="P58" s="189"/>
      <c r="Q58" s="46">
        <v>3300000</v>
      </c>
    </row>
    <row r="59" spans="2:17" ht="15.75" x14ac:dyDescent="0.25">
      <c r="B59" s="97">
        <v>10</v>
      </c>
      <c r="C59" s="45">
        <v>6</v>
      </c>
      <c r="D59" s="293" t="s">
        <v>362</v>
      </c>
      <c r="E59" s="294"/>
      <c r="F59" s="294"/>
      <c r="G59" s="294"/>
      <c r="H59" s="295"/>
      <c r="I59" s="46">
        <f>Výdavky!I253</f>
        <v>8000</v>
      </c>
      <c r="J59" s="183"/>
      <c r="K59" s="46">
        <v>0</v>
      </c>
      <c r="L59" s="183"/>
      <c r="M59" s="46">
        <f t="shared" si="5"/>
        <v>8000</v>
      </c>
      <c r="N59" s="189"/>
      <c r="O59" s="46">
        <v>8000</v>
      </c>
      <c r="P59" s="189"/>
      <c r="Q59" s="46">
        <v>8000</v>
      </c>
    </row>
    <row r="60" spans="2:17" ht="15.75" x14ac:dyDescent="0.25">
      <c r="B60" s="97">
        <v>11</v>
      </c>
      <c r="C60" s="45">
        <v>7</v>
      </c>
      <c r="D60" s="293" t="s">
        <v>364</v>
      </c>
      <c r="E60" s="294"/>
      <c r="F60" s="294"/>
      <c r="G60" s="294"/>
      <c r="H60" s="295"/>
      <c r="I60" s="46">
        <f>Výdavky!I261</f>
        <v>183520</v>
      </c>
      <c r="J60" s="183"/>
      <c r="K60" s="46">
        <f>Výdavky!N261</f>
        <v>41000</v>
      </c>
      <c r="L60" s="183"/>
      <c r="M60" s="46">
        <f t="shared" si="5"/>
        <v>224520</v>
      </c>
      <c r="N60" s="189"/>
      <c r="O60" s="46">
        <v>184000</v>
      </c>
      <c r="P60" s="189"/>
      <c r="Q60" s="46">
        <v>184000</v>
      </c>
    </row>
    <row r="61" spans="2:17" ht="15.75" x14ac:dyDescent="0.25">
      <c r="B61" s="97">
        <v>12</v>
      </c>
      <c r="C61" s="45">
        <v>8</v>
      </c>
      <c r="D61" s="293" t="s">
        <v>367</v>
      </c>
      <c r="E61" s="294"/>
      <c r="F61" s="294"/>
      <c r="G61" s="294"/>
      <c r="H61" s="295"/>
      <c r="I61" s="46">
        <f>Výdavky!I275</f>
        <v>30000</v>
      </c>
      <c r="J61" s="183"/>
      <c r="K61" s="46">
        <f>Výdavky!N275</f>
        <v>13000</v>
      </c>
      <c r="L61" s="183"/>
      <c r="M61" s="46">
        <f t="shared" si="5"/>
        <v>43000</v>
      </c>
      <c r="N61" s="189"/>
      <c r="O61" s="46">
        <v>30000</v>
      </c>
      <c r="P61" s="189"/>
      <c r="Q61" s="46">
        <v>30000</v>
      </c>
    </row>
    <row r="63" spans="2:17" ht="27" x14ac:dyDescent="0.35">
      <c r="B63" s="310" t="s">
        <v>370</v>
      </c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</row>
    <row r="64" spans="2:17" ht="15.75" customHeight="1" x14ac:dyDescent="0.25">
      <c r="B64" s="279" t="s">
        <v>286</v>
      </c>
      <c r="C64" s="280"/>
      <c r="D64" s="280"/>
      <c r="E64" s="280"/>
      <c r="F64" s="280"/>
      <c r="G64" s="280"/>
      <c r="H64" s="280"/>
      <c r="I64" s="280"/>
      <c r="J64" s="280"/>
      <c r="K64" s="281"/>
      <c r="L64" s="185"/>
      <c r="M64" s="344" t="s">
        <v>941</v>
      </c>
      <c r="N64" s="187"/>
      <c r="O64" s="341" t="s">
        <v>942</v>
      </c>
      <c r="P64" s="191"/>
      <c r="Q64" s="341" t="s">
        <v>943</v>
      </c>
    </row>
    <row r="65" spans="2:17" ht="12.75" customHeight="1" x14ac:dyDescent="0.25">
      <c r="B65" s="282"/>
      <c r="C65" s="285" t="s">
        <v>287</v>
      </c>
      <c r="D65" s="285" t="s">
        <v>288</v>
      </c>
      <c r="E65" s="285" t="s">
        <v>289</v>
      </c>
      <c r="F65" s="285" t="s">
        <v>290</v>
      </c>
      <c r="G65" s="303" t="s">
        <v>291</v>
      </c>
      <c r="H65" s="305" t="s">
        <v>292</v>
      </c>
      <c r="I65" s="308" t="s">
        <v>935</v>
      </c>
      <c r="J65" s="171"/>
      <c r="K65" s="301" t="s">
        <v>936</v>
      </c>
      <c r="L65" s="186"/>
      <c r="M65" s="344"/>
      <c r="N65" s="187"/>
      <c r="O65" s="342"/>
      <c r="P65" s="192"/>
      <c r="Q65" s="342"/>
    </row>
    <row r="66" spans="2:17" x14ac:dyDescent="0.25">
      <c r="B66" s="283"/>
      <c r="C66" s="286"/>
      <c r="D66" s="286"/>
      <c r="E66" s="286"/>
      <c r="F66" s="286"/>
      <c r="G66" s="303"/>
      <c r="H66" s="306"/>
      <c r="I66" s="308"/>
      <c r="J66" s="171"/>
      <c r="K66" s="301"/>
      <c r="L66" s="186"/>
      <c r="M66" s="344"/>
      <c r="N66" s="187"/>
      <c r="O66" s="342"/>
      <c r="P66" s="192"/>
      <c r="Q66" s="342"/>
    </row>
    <row r="67" spans="2:17" x14ac:dyDescent="0.25">
      <c r="B67" s="283"/>
      <c r="C67" s="286"/>
      <c r="D67" s="286"/>
      <c r="E67" s="286"/>
      <c r="F67" s="286"/>
      <c r="G67" s="303"/>
      <c r="H67" s="306"/>
      <c r="I67" s="308"/>
      <c r="J67" s="171"/>
      <c r="K67" s="301"/>
      <c r="L67" s="186"/>
      <c r="M67" s="344"/>
      <c r="N67" s="187"/>
      <c r="O67" s="342"/>
      <c r="P67" s="192"/>
      <c r="Q67" s="342"/>
    </row>
    <row r="68" spans="2:17" ht="12.75" customHeight="1" thickBot="1" x14ac:dyDescent="0.3">
      <c r="B68" s="284"/>
      <c r="C68" s="287"/>
      <c r="D68" s="287"/>
      <c r="E68" s="287"/>
      <c r="F68" s="287"/>
      <c r="G68" s="304"/>
      <c r="H68" s="307"/>
      <c r="I68" s="309"/>
      <c r="J68" s="181"/>
      <c r="K68" s="302"/>
      <c r="L68" s="186"/>
      <c r="M68" s="344"/>
      <c r="N68" s="187"/>
      <c r="O68" s="343"/>
      <c r="P68" s="192"/>
      <c r="Q68" s="343"/>
    </row>
    <row r="69" spans="2:17" ht="16.5" thickTop="1" x14ac:dyDescent="0.25">
      <c r="B69" s="98">
        <v>1</v>
      </c>
      <c r="C69" s="290" t="s">
        <v>370</v>
      </c>
      <c r="D69" s="291"/>
      <c r="E69" s="291"/>
      <c r="F69" s="291"/>
      <c r="G69" s="291"/>
      <c r="H69" s="292"/>
      <c r="I69" s="44">
        <f>I70+I71+I72+I73+I74+I75+I76</f>
        <v>540575</v>
      </c>
      <c r="J69" s="182"/>
      <c r="K69" s="44">
        <f>K70+K71+K72+K73+K74+K75+K76</f>
        <v>20962</v>
      </c>
      <c r="L69" s="182"/>
      <c r="M69" s="44">
        <f>K69+I69</f>
        <v>561537</v>
      </c>
      <c r="N69" s="188"/>
      <c r="O69" s="44">
        <f>O76+O75+O74+O73+O72+O71+O70</f>
        <v>542300</v>
      </c>
      <c r="P69" s="188"/>
      <c r="Q69" s="44">
        <f>Q76+Q75+Q74+Q73+Q72+Q71+Q70</f>
        <v>544300</v>
      </c>
    </row>
    <row r="70" spans="2:17" ht="15.75" x14ac:dyDescent="0.25">
      <c r="B70" s="97">
        <f>B69+1</f>
        <v>2</v>
      </c>
      <c r="C70" s="45">
        <v>1</v>
      </c>
      <c r="D70" s="293" t="s">
        <v>371</v>
      </c>
      <c r="E70" s="294"/>
      <c r="F70" s="294"/>
      <c r="G70" s="294"/>
      <c r="H70" s="295"/>
      <c r="I70" s="46">
        <f>Výdavky!I295</f>
        <v>27500</v>
      </c>
      <c r="J70" s="183"/>
      <c r="K70" s="46">
        <v>0</v>
      </c>
      <c r="L70" s="183"/>
      <c r="M70" s="46">
        <f t="shared" ref="M70:M76" si="6">K70+I70</f>
        <v>27500</v>
      </c>
      <c r="N70" s="189"/>
      <c r="O70" s="46">
        <v>27500</v>
      </c>
      <c r="P70" s="189"/>
      <c r="Q70" s="46">
        <v>27500</v>
      </c>
    </row>
    <row r="71" spans="2:17" ht="15.75" x14ac:dyDescent="0.25">
      <c r="B71" s="97">
        <v>3</v>
      </c>
      <c r="C71" s="45">
        <v>2</v>
      </c>
      <c r="D71" s="293" t="s">
        <v>372</v>
      </c>
      <c r="E71" s="294"/>
      <c r="F71" s="294"/>
      <c r="G71" s="294"/>
      <c r="H71" s="295"/>
      <c r="I71" s="46">
        <f>Výdavky!I303</f>
        <v>99400</v>
      </c>
      <c r="J71" s="183"/>
      <c r="K71" s="46">
        <v>0</v>
      </c>
      <c r="L71" s="183"/>
      <c r="M71" s="46">
        <f t="shared" si="6"/>
        <v>99400</v>
      </c>
      <c r="N71" s="189"/>
      <c r="O71" s="46">
        <v>100000</v>
      </c>
      <c r="P71" s="189"/>
      <c r="Q71" s="46">
        <v>101000</v>
      </c>
    </row>
    <row r="72" spans="2:17" ht="15.75" x14ac:dyDescent="0.25">
      <c r="B72" s="97">
        <v>4</v>
      </c>
      <c r="C72" s="45">
        <v>3</v>
      </c>
      <c r="D72" s="293" t="s">
        <v>374</v>
      </c>
      <c r="E72" s="294"/>
      <c r="F72" s="294"/>
      <c r="G72" s="294"/>
      <c r="H72" s="295"/>
      <c r="I72" s="46">
        <f>Výdavky!I317</f>
        <v>171300</v>
      </c>
      <c r="J72" s="183"/>
      <c r="K72" s="46">
        <v>0</v>
      </c>
      <c r="L72" s="183"/>
      <c r="M72" s="46">
        <f t="shared" si="6"/>
        <v>171300</v>
      </c>
      <c r="N72" s="189"/>
      <c r="O72" s="46">
        <v>172000</v>
      </c>
      <c r="P72" s="189"/>
      <c r="Q72" s="46">
        <v>173000</v>
      </c>
    </row>
    <row r="73" spans="2:17" ht="15.75" x14ac:dyDescent="0.25">
      <c r="B73" s="97">
        <v>5</v>
      </c>
      <c r="C73" s="45">
        <v>4</v>
      </c>
      <c r="D73" s="293" t="s">
        <v>94</v>
      </c>
      <c r="E73" s="294"/>
      <c r="F73" s="294"/>
      <c r="G73" s="294"/>
      <c r="H73" s="295"/>
      <c r="I73" s="46">
        <f>Výdavky!I330</f>
        <v>42040</v>
      </c>
      <c r="J73" s="183"/>
      <c r="K73" s="46">
        <v>0</v>
      </c>
      <c r="L73" s="183"/>
      <c r="M73" s="46">
        <f t="shared" si="6"/>
        <v>42040</v>
      </c>
      <c r="N73" s="189"/>
      <c r="O73" s="46">
        <v>42500</v>
      </c>
      <c r="P73" s="189"/>
      <c r="Q73" s="46">
        <v>42500</v>
      </c>
    </row>
    <row r="74" spans="2:17" ht="15.75" x14ac:dyDescent="0.25">
      <c r="B74" s="97">
        <v>6</v>
      </c>
      <c r="C74" s="45">
        <v>5</v>
      </c>
      <c r="D74" s="293" t="s">
        <v>90</v>
      </c>
      <c r="E74" s="294"/>
      <c r="F74" s="294"/>
      <c r="G74" s="294"/>
      <c r="H74" s="295"/>
      <c r="I74" s="46">
        <f>Výdavky!I339</f>
        <v>50035</v>
      </c>
      <c r="J74" s="183"/>
      <c r="K74" s="46">
        <v>0</v>
      </c>
      <c r="L74" s="183"/>
      <c r="M74" s="46">
        <f t="shared" si="6"/>
        <v>50035</v>
      </c>
      <c r="N74" s="189"/>
      <c r="O74" s="46">
        <v>50000</v>
      </c>
      <c r="P74" s="189"/>
      <c r="Q74" s="46">
        <v>50000</v>
      </c>
    </row>
    <row r="75" spans="2:17" ht="15.75" x14ac:dyDescent="0.25">
      <c r="B75" s="97">
        <v>7</v>
      </c>
      <c r="C75" s="45">
        <v>6</v>
      </c>
      <c r="D75" s="293" t="s">
        <v>381</v>
      </c>
      <c r="E75" s="294"/>
      <c r="F75" s="294"/>
      <c r="G75" s="294"/>
      <c r="H75" s="295"/>
      <c r="I75" s="46">
        <f>Výdavky!I359</f>
        <v>148000</v>
      </c>
      <c r="J75" s="183"/>
      <c r="K75" s="46">
        <f>Výdavky!N359</f>
        <v>20962</v>
      </c>
      <c r="L75" s="183"/>
      <c r="M75" s="46">
        <f t="shared" si="6"/>
        <v>168962</v>
      </c>
      <c r="N75" s="189"/>
      <c r="O75" s="46">
        <v>148000</v>
      </c>
      <c r="P75" s="189"/>
      <c r="Q75" s="46">
        <v>148000</v>
      </c>
    </row>
    <row r="76" spans="2:17" ht="15.75" x14ac:dyDescent="0.25">
      <c r="B76" s="97">
        <v>8</v>
      </c>
      <c r="C76" s="45">
        <v>7</v>
      </c>
      <c r="D76" s="293" t="s">
        <v>388</v>
      </c>
      <c r="E76" s="294"/>
      <c r="F76" s="294"/>
      <c r="G76" s="294"/>
      <c r="H76" s="295"/>
      <c r="I76" s="46">
        <f>Výdavky!I381</f>
        <v>2300</v>
      </c>
      <c r="J76" s="183"/>
      <c r="K76" s="46">
        <v>0</v>
      </c>
      <c r="L76" s="183"/>
      <c r="M76" s="46">
        <f t="shared" si="6"/>
        <v>2300</v>
      </c>
      <c r="N76" s="189"/>
      <c r="O76" s="46">
        <v>2300</v>
      </c>
      <c r="P76" s="189"/>
      <c r="Q76" s="46">
        <v>2300</v>
      </c>
    </row>
    <row r="80" spans="2:17" ht="27" x14ac:dyDescent="0.35">
      <c r="B80" s="310" t="s">
        <v>390</v>
      </c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</row>
    <row r="81" spans="2:17" ht="15.75" customHeight="1" x14ac:dyDescent="0.25">
      <c r="B81" s="279" t="s">
        <v>286</v>
      </c>
      <c r="C81" s="280"/>
      <c r="D81" s="280"/>
      <c r="E81" s="280"/>
      <c r="F81" s="280"/>
      <c r="G81" s="280"/>
      <c r="H81" s="280"/>
      <c r="I81" s="280"/>
      <c r="J81" s="280"/>
      <c r="K81" s="281"/>
      <c r="L81" s="185"/>
      <c r="M81" s="344" t="s">
        <v>941</v>
      </c>
      <c r="N81" s="187"/>
      <c r="O81" s="341" t="s">
        <v>942</v>
      </c>
      <c r="P81" s="191"/>
      <c r="Q81" s="341" t="s">
        <v>943</v>
      </c>
    </row>
    <row r="82" spans="2:17" ht="12.75" customHeight="1" x14ac:dyDescent="0.25">
      <c r="B82" s="282"/>
      <c r="C82" s="285" t="s">
        <v>287</v>
      </c>
      <c r="D82" s="285" t="s">
        <v>288</v>
      </c>
      <c r="E82" s="285" t="s">
        <v>289</v>
      </c>
      <c r="F82" s="285" t="s">
        <v>290</v>
      </c>
      <c r="G82" s="303" t="s">
        <v>291</v>
      </c>
      <c r="H82" s="305" t="s">
        <v>292</v>
      </c>
      <c r="I82" s="308" t="s">
        <v>935</v>
      </c>
      <c r="J82" s="171"/>
      <c r="K82" s="301" t="s">
        <v>936</v>
      </c>
      <c r="L82" s="186"/>
      <c r="M82" s="344"/>
      <c r="N82" s="187"/>
      <c r="O82" s="342"/>
      <c r="P82" s="192"/>
      <c r="Q82" s="342"/>
    </row>
    <row r="83" spans="2:17" x14ac:dyDescent="0.25">
      <c r="B83" s="283"/>
      <c r="C83" s="286"/>
      <c r="D83" s="286"/>
      <c r="E83" s="286"/>
      <c r="F83" s="286"/>
      <c r="G83" s="303"/>
      <c r="H83" s="306"/>
      <c r="I83" s="308"/>
      <c r="J83" s="171"/>
      <c r="K83" s="301"/>
      <c r="L83" s="186"/>
      <c r="M83" s="344"/>
      <c r="N83" s="187"/>
      <c r="O83" s="342"/>
      <c r="P83" s="192"/>
      <c r="Q83" s="342"/>
    </row>
    <row r="84" spans="2:17" x14ac:dyDescent="0.25">
      <c r="B84" s="283"/>
      <c r="C84" s="286"/>
      <c r="D84" s="286"/>
      <c r="E84" s="286"/>
      <c r="F84" s="286"/>
      <c r="G84" s="303"/>
      <c r="H84" s="306"/>
      <c r="I84" s="308"/>
      <c r="J84" s="171"/>
      <c r="K84" s="301"/>
      <c r="L84" s="186"/>
      <c r="M84" s="344"/>
      <c r="N84" s="187"/>
      <c r="O84" s="342"/>
      <c r="P84" s="192"/>
      <c r="Q84" s="342"/>
    </row>
    <row r="85" spans="2:17" ht="15.75" thickBot="1" x14ac:dyDescent="0.3">
      <c r="B85" s="284"/>
      <c r="C85" s="287"/>
      <c r="D85" s="287"/>
      <c r="E85" s="287"/>
      <c r="F85" s="287"/>
      <c r="G85" s="304"/>
      <c r="H85" s="307"/>
      <c r="I85" s="309"/>
      <c r="J85" s="181"/>
      <c r="K85" s="302"/>
      <c r="L85" s="186"/>
      <c r="M85" s="344"/>
      <c r="N85" s="187"/>
      <c r="O85" s="343"/>
      <c r="P85" s="192"/>
      <c r="Q85" s="343"/>
    </row>
    <row r="86" spans="2:17" ht="16.5" thickTop="1" x14ac:dyDescent="0.25">
      <c r="B86" s="98">
        <v>1</v>
      </c>
      <c r="C86" s="290" t="s">
        <v>390</v>
      </c>
      <c r="D86" s="291"/>
      <c r="E86" s="291"/>
      <c r="F86" s="291"/>
      <c r="G86" s="291"/>
      <c r="H86" s="292"/>
      <c r="I86" s="44">
        <f>I87+I88+I89+I90+I91</f>
        <v>1657425</v>
      </c>
      <c r="J86" s="182"/>
      <c r="K86" s="44">
        <f>K87+K88+K89+K90+K91</f>
        <v>16700</v>
      </c>
      <c r="L86" s="182"/>
      <c r="M86" s="44">
        <f>K86+I86</f>
        <v>1674125</v>
      </c>
      <c r="N86" s="188"/>
      <c r="O86" s="44">
        <f>O91+O90+O89+O88+O87</f>
        <v>1708000</v>
      </c>
      <c r="P86" s="188"/>
      <c r="Q86" s="44">
        <f>Q91+Q90+Q89+Q88+Q87</f>
        <v>1758000</v>
      </c>
    </row>
    <row r="87" spans="2:17" ht="15.75" x14ac:dyDescent="0.25">
      <c r="B87" s="97">
        <f>B86+1</f>
        <v>2</v>
      </c>
      <c r="C87" s="45">
        <v>1</v>
      </c>
      <c r="D87" s="293" t="s">
        <v>391</v>
      </c>
      <c r="E87" s="294"/>
      <c r="F87" s="294"/>
      <c r="G87" s="294"/>
      <c r="H87" s="295"/>
      <c r="I87" s="46">
        <f>Výdavky!I426</f>
        <v>1048800</v>
      </c>
      <c r="J87" s="183"/>
      <c r="K87" s="46">
        <f>Výdavky!N426</f>
        <v>15000</v>
      </c>
      <c r="L87" s="183"/>
      <c r="M87" s="46">
        <f t="shared" ref="M87:M91" si="7">K87+I87</f>
        <v>1063800</v>
      </c>
      <c r="N87" s="189"/>
      <c r="O87" s="46">
        <v>1100000</v>
      </c>
      <c r="P87" s="189"/>
      <c r="Q87" s="46">
        <v>1150000</v>
      </c>
    </row>
    <row r="88" spans="2:17" ht="15.75" x14ac:dyDescent="0.25">
      <c r="B88" s="97">
        <v>3</v>
      </c>
      <c r="C88" s="45">
        <v>2</v>
      </c>
      <c r="D88" s="293" t="s">
        <v>92</v>
      </c>
      <c r="E88" s="294"/>
      <c r="F88" s="294"/>
      <c r="G88" s="294"/>
      <c r="H88" s="295"/>
      <c r="I88" s="46">
        <f>Výdavky!I449</f>
        <v>570265</v>
      </c>
      <c r="J88" s="183"/>
      <c r="K88" s="46">
        <f>Výdavky!N449</f>
        <v>1700</v>
      </c>
      <c r="L88" s="183"/>
      <c r="M88" s="46">
        <f t="shared" si="7"/>
        <v>571965</v>
      </c>
      <c r="N88" s="189"/>
      <c r="O88" s="46">
        <v>570000</v>
      </c>
      <c r="P88" s="189"/>
      <c r="Q88" s="46">
        <v>570000</v>
      </c>
    </row>
    <row r="89" spans="2:17" ht="15.75" x14ac:dyDescent="0.25">
      <c r="B89" s="97">
        <v>4</v>
      </c>
      <c r="C89" s="45">
        <v>3</v>
      </c>
      <c r="D89" s="293" t="s">
        <v>405</v>
      </c>
      <c r="E89" s="294"/>
      <c r="F89" s="294"/>
      <c r="G89" s="294"/>
      <c r="H89" s="295"/>
      <c r="I89" s="46">
        <f>Výdavky!I488</f>
        <v>7000</v>
      </c>
      <c r="J89" s="183"/>
      <c r="K89" s="46">
        <f>Výdavky!N488</f>
        <v>0</v>
      </c>
      <c r="L89" s="183"/>
      <c r="M89" s="46">
        <f t="shared" si="7"/>
        <v>7000</v>
      </c>
      <c r="N89" s="189"/>
      <c r="O89" s="46">
        <v>7000</v>
      </c>
      <c r="P89" s="189"/>
      <c r="Q89" s="46">
        <v>7000</v>
      </c>
    </row>
    <row r="90" spans="2:17" ht="15.75" x14ac:dyDescent="0.25">
      <c r="B90" s="97">
        <v>5</v>
      </c>
      <c r="C90" s="45">
        <v>4</v>
      </c>
      <c r="D90" s="293" t="s">
        <v>406</v>
      </c>
      <c r="E90" s="294"/>
      <c r="F90" s="294"/>
      <c r="G90" s="294"/>
      <c r="H90" s="295"/>
      <c r="I90" s="46">
        <f>Výdavky!I497</f>
        <v>18325</v>
      </c>
      <c r="J90" s="183"/>
      <c r="K90" s="46">
        <v>0</v>
      </c>
      <c r="L90" s="183"/>
      <c r="M90" s="46">
        <f t="shared" si="7"/>
        <v>18325</v>
      </c>
      <c r="N90" s="189"/>
      <c r="O90" s="46">
        <v>18000</v>
      </c>
      <c r="P90" s="189"/>
      <c r="Q90" s="46">
        <v>18000</v>
      </c>
    </row>
    <row r="91" spans="2:17" ht="15.75" x14ac:dyDescent="0.25">
      <c r="B91" s="97">
        <v>6</v>
      </c>
      <c r="C91" s="45">
        <v>5</v>
      </c>
      <c r="D91" s="293" t="s">
        <v>408</v>
      </c>
      <c r="E91" s="294"/>
      <c r="F91" s="294"/>
      <c r="G91" s="294"/>
      <c r="H91" s="295"/>
      <c r="I91" s="46">
        <f>Výdavky!I503</f>
        <v>13035</v>
      </c>
      <c r="J91" s="183"/>
      <c r="K91" s="46">
        <v>0</v>
      </c>
      <c r="L91" s="183"/>
      <c r="M91" s="46">
        <f t="shared" si="7"/>
        <v>13035</v>
      </c>
      <c r="N91" s="189"/>
      <c r="O91" s="46">
        <v>13000</v>
      </c>
      <c r="P91" s="189"/>
      <c r="Q91" s="46">
        <v>13000</v>
      </c>
    </row>
    <row r="94" spans="2:17" ht="27" x14ac:dyDescent="0.35">
      <c r="B94" s="310" t="s">
        <v>414</v>
      </c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</row>
    <row r="95" spans="2:17" ht="15.75" customHeight="1" x14ac:dyDescent="0.25">
      <c r="B95" s="279" t="s">
        <v>286</v>
      </c>
      <c r="C95" s="280"/>
      <c r="D95" s="280"/>
      <c r="E95" s="280"/>
      <c r="F95" s="280"/>
      <c r="G95" s="280"/>
      <c r="H95" s="280"/>
      <c r="I95" s="280"/>
      <c r="J95" s="280"/>
      <c r="K95" s="281"/>
      <c r="L95" s="185"/>
      <c r="M95" s="344" t="s">
        <v>941</v>
      </c>
      <c r="N95" s="187"/>
      <c r="O95" s="341" t="s">
        <v>942</v>
      </c>
      <c r="P95" s="191"/>
      <c r="Q95" s="341" t="s">
        <v>943</v>
      </c>
    </row>
    <row r="96" spans="2:17" ht="12.75" customHeight="1" x14ac:dyDescent="0.25">
      <c r="B96" s="282"/>
      <c r="C96" s="285" t="s">
        <v>287</v>
      </c>
      <c r="D96" s="285" t="s">
        <v>288</v>
      </c>
      <c r="E96" s="285" t="s">
        <v>289</v>
      </c>
      <c r="F96" s="285" t="s">
        <v>290</v>
      </c>
      <c r="G96" s="303" t="s">
        <v>291</v>
      </c>
      <c r="H96" s="305" t="s">
        <v>292</v>
      </c>
      <c r="I96" s="308" t="s">
        <v>935</v>
      </c>
      <c r="J96" s="171"/>
      <c r="K96" s="301" t="s">
        <v>936</v>
      </c>
      <c r="L96" s="186"/>
      <c r="M96" s="344"/>
      <c r="N96" s="187"/>
      <c r="O96" s="342"/>
      <c r="P96" s="192"/>
      <c r="Q96" s="342"/>
    </row>
    <row r="97" spans="2:17" x14ac:dyDescent="0.25">
      <c r="B97" s="283"/>
      <c r="C97" s="286"/>
      <c r="D97" s="286"/>
      <c r="E97" s="286"/>
      <c r="F97" s="286"/>
      <c r="G97" s="303"/>
      <c r="H97" s="306"/>
      <c r="I97" s="308"/>
      <c r="J97" s="171"/>
      <c r="K97" s="301"/>
      <c r="L97" s="186"/>
      <c r="M97" s="344"/>
      <c r="N97" s="187"/>
      <c r="O97" s="342"/>
      <c r="P97" s="192"/>
      <c r="Q97" s="342"/>
    </row>
    <row r="98" spans="2:17" x14ac:dyDescent="0.25">
      <c r="B98" s="283"/>
      <c r="C98" s="286"/>
      <c r="D98" s="286"/>
      <c r="E98" s="286"/>
      <c r="F98" s="286"/>
      <c r="G98" s="303"/>
      <c r="H98" s="306"/>
      <c r="I98" s="308"/>
      <c r="J98" s="171"/>
      <c r="K98" s="301"/>
      <c r="L98" s="186"/>
      <c r="M98" s="344"/>
      <c r="N98" s="187"/>
      <c r="O98" s="342"/>
      <c r="P98" s="192"/>
      <c r="Q98" s="342"/>
    </row>
    <row r="99" spans="2:17" ht="15.75" thickBot="1" x14ac:dyDescent="0.3">
      <c r="B99" s="284"/>
      <c r="C99" s="287"/>
      <c r="D99" s="287"/>
      <c r="E99" s="287"/>
      <c r="F99" s="287"/>
      <c r="G99" s="304"/>
      <c r="H99" s="307"/>
      <c r="I99" s="309"/>
      <c r="J99" s="181"/>
      <c r="K99" s="302"/>
      <c r="L99" s="186"/>
      <c r="M99" s="344"/>
      <c r="N99" s="187"/>
      <c r="O99" s="343"/>
      <c r="P99" s="192"/>
      <c r="Q99" s="343"/>
    </row>
    <row r="100" spans="2:17" ht="16.5" thickTop="1" x14ac:dyDescent="0.25">
      <c r="B100" s="98">
        <v>1</v>
      </c>
      <c r="C100" s="290" t="s">
        <v>414</v>
      </c>
      <c r="D100" s="291"/>
      <c r="E100" s="291"/>
      <c r="F100" s="291"/>
      <c r="G100" s="291"/>
      <c r="H100" s="292"/>
      <c r="I100" s="44">
        <f>I101+I102</f>
        <v>4143133</v>
      </c>
      <c r="J100" s="182"/>
      <c r="K100" s="44">
        <f>K102+K103</f>
        <v>5637217</v>
      </c>
      <c r="L100" s="182"/>
      <c r="M100" s="44">
        <f>K100+I100</f>
        <v>9780350</v>
      </c>
      <c r="N100" s="188"/>
      <c r="O100" s="44">
        <f>O103+O102+O101</f>
        <v>4174000</v>
      </c>
      <c r="P100" s="188"/>
      <c r="Q100" s="44">
        <f>Q103+Q102+Q101</f>
        <v>4274000</v>
      </c>
    </row>
    <row r="101" spans="2:17" ht="15.75" x14ac:dyDescent="0.25">
      <c r="B101" s="97">
        <f>B100+1</f>
        <v>2</v>
      </c>
      <c r="C101" s="45">
        <v>1</v>
      </c>
      <c r="D101" s="293" t="s">
        <v>415</v>
      </c>
      <c r="E101" s="294"/>
      <c r="F101" s="294"/>
      <c r="G101" s="294"/>
      <c r="H101" s="295"/>
      <c r="I101" s="46">
        <f>Výdavky!I555</f>
        <v>2174840</v>
      </c>
      <c r="J101" s="183"/>
      <c r="K101" s="46">
        <v>0</v>
      </c>
      <c r="L101" s="183"/>
      <c r="M101" s="46">
        <f t="shared" ref="M101:M103" si="8">K101+I101</f>
        <v>2174840</v>
      </c>
      <c r="N101" s="189"/>
      <c r="O101" s="46">
        <v>2174000</v>
      </c>
      <c r="P101" s="189"/>
      <c r="Q101" s="46">
        <v>2174000</v>
      </c>
    </row>
    <row r="102" spans="2:17" ht="14.25" customHeight="1" x14ac:dyDescent="0.25">
      <c r="B102" s="97">
        <v>3</v>
      </c>
      <c r="C102" s="45">
        <v>2</v>
      </c>
      <c r="D102" s="293" t="s">
        <v>416</v>
      </c>
      <c r="E102" s="294"/>
      <c r="F102" s="294"/>
      <c r="G102" s="294"/>
      <c r="H102" s="295"/>
      <c r="I102" s="46">
        <f>Výdavky!I561</f>
        <v>1968293</v>
      </c>
      <c r="J102" s="183"/>
      <c r="K102" s="46">
        <f>Výdavky!N561</f>
        <v>127339</v>
      </c>
      <c r="L102" s="183"/>
      <c r="M102" s="46">
        <f t="shared" si="8"/>
        <v>2095632</v>
      </c>
      <c r="N102" s="189"/>
      <c r="O102" s="46">
        <v>2000000</v>
      </c>
      <c r="P102" s="189"/>
      <c r="Q102" s="46">
        <v>2100000</v>
      </c>
    </row>
    <row r="103" spans="2:17" ht="15.75" x14ac:dyDescent="0.25">
      <c r="B103" s="97">
        <v>4</v>
      </c>
      <c r="C103" s="45">
        <v>3</v>
      </c>
      <c r="D103" s="293" t="s">
        <v>420</v>
      </c>
      <c r="E103" s="294"/>
      <c r="F103" s="294"/>
      <c r="G103" s="294"/>
      <c r="H103" s="295"/>
      <c r="I103" s="46">
        <v>0</v>
      </c>
      <c r="J103" s="183"/>
      <c r="K103" s="46">
        <f>Výdavky!N595</f>
        <v>5509878</v>
      </c>
      <c r="L103" s="183"/>
      <c r="M103" s="46">
        <f t="shared" si="8"/>
        <v>5509878</v>
      </c>
      <c r="N103" s="189"/>
      <c r="O103" s="46">
        <v>0</v>
      </c>
      <c r="P103" s="189"/>
      <c r="Q103" s="46">
        <v>0</v>
      </c>
    </row>
    <row r="118" spans="2:17" ht="27" x14ac:dyDescent="0.35">
      <c r="B118" s="310" t="s">
        <v>509</v>
      </c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</row>
    <row r="119" spans="2:17" ht="15.75" customHeight="1" x14ac:dyDescent="0.25">
      <c r="B119" s="279" t="s">
        <v>286</v>
      </c>
      <c r="C119" s="280"/>
      <c r="D119" s="280"/>
      <c r="E119" s="280"/>
      <c r="F119" s="280"/>
      <c r="G119" s="280"/>
      <c r="H119" s="280"/>
      <c r="I119" s="280"/>
      <c r="J119" s="280"/>
      <c r="K119" s="281"/>
      <c r="L119" s="185"/>
      <c r="M119" s="344" t="s">
        <v>941</v>
      </c>
      <c r="N119" s="187"/>
      <c r="O119" s="341" t="s">
        <v>942</v>
      </c>
      <c r="P119" s="191"/>
      <c r="Q119" s="341" t="s">
        <v>943</v>
      </c>
    </row>
    <row r="120" spans="2:17" ht="12.75" customHeight="1" x14ac:dyDescent="0.25">
      <c r="B120" s="282"/>
      <c r="C120" s="285" t="s">
        <v>287</v>
      </c>
      <c r="D120" s="285" t="s">
        <v>288</v>
      </c>
      <c r="E120" s="285" t="s">
        <v>289</v>
      </c>
      <c r="F120" s="285" t="s">
        <v>290</v>
      </c>
      <c r="G120" s="303" t="s">
        <v>291</v>
      </c>
      <c r="H120" s="305" t="s">
        <v>292</v>
      </c>
      <c r="I120" s="308" t="s">
        <v>935</v>
      </c>
      <c r="J120" s="171"/>
      <c r="K120" s="301" t="s">
        <v>936</v>
      </c>
      <c r="L120" s="186"/>
      <c r="M120" s="344"/>
      <c r="N120" s="187"/>
      <c r="O120" s="342"/>
      <c r="P120" s="192"/>
      <c r="Q120" s="342"/>
    </row>
    <row r="121" spans="2:17" x14ac:dyDescent="0.25">
      <c r="B121" s="283"/>
      <c r="C121" s="286"/>
      <c r="D121" s="286"/>
      <c r="E121" s="286"/>
      <c r="F121" s="286"/>
      <c r="G121" s="303"/>
      <c r="H121" s="306"/>
      <c r="I121" s="308"/>
      <c r="J121" s="171"/>
      <c r="K121" s="301"/>
      <c r="L121" s="186"/>
      <c r="M121" s="344"/>
      <c r="N121" s="187"/>
      <c r="O121" s="342"/>
      <c r="P121" s="192"/>
      <c r="Q121" s="342"/>
    </row>
    <row r="122" spans="2:17" x14ac:dyDescent="0.25">
      <c r="B122" s="283"/>
      <c r="C122" s="286"/>
      <c r="D122" s="286"/>
      <c r="E122" s="286"/>
      <c r="F122" s="286"/>
      <c r="G122" s="303"/>
      <c r="H122" s="306"/>
      <c r="I122" s="308"/>
      <c r="J122" s="171"/>
      <c r="K122" s="301"/>
      <c r="L122" s="186"/>
      <c r="M122" s="344"/>
      <c r="N122" s="187"/>
      <c r="O122" s="342"/>
      <c r="P122" s="192"/>
      <c r="Q122" s="342"/>
    </row>
    <row r="123" spans="2:17" ht="15.75" thickBot="1" x14ac:dyDescent="0.3">
      <c r="B123" s="284"/>
      <c r="C123" s="287"/>
      <c r="D123" s="287"/>
      <c r="E123" s="287"/>
      <c r="F123" s="287"/>
      <c r="G123" s="304"/>
      <c r="H123" s="307"/>
      <c r="I123" s="309"/>
      <c r="J123" s="181"/>
      <c r="K123" s="302"/>
      <c r="L123" s="186"/>
      <c r="M123" s="344"/>
      <c r="N123" s="187"/>
      <c r="O123" s="343"/>
      <c r="P123" s="192"/>
      <c r="Q123" s="343"/>
    </row>
    <row r="124" spans="2:17" ht="16.5" thickTop="1" x14ac:dyDescent="0.25">
      <c r="B124" s="98">
        <v>1</v>
      </c>
      <c r="C124" s="290" t="s">
        <v>509</v>
      </c>
      <c r="D124" s="291"/>
      <c r="E124" s="291"/>
      <c r="F124" s="291"/>
      <c r="G124" s="291"/>
      <c r="H124" s="292"/>
      <c r="I124" s="44">
        <f>I125+I126+I127+I128+I129</f>
        <v>14943954</v>
      </c>
      <c r="J124" s="182"/>
      <c r="K124" s="44">
        <f>K125+K126+K127+K128+K129</f>
        <v>762902</v>
      </c>
      <c r="L124" s="182"/>
      <c r="M124" s="44">
        <f>K124+I124</f>
        <v>15706856</v>
      </c>
      <c r="N124" s="188"/>
      <c r="O124" s="44">
        <f>O129+O128+O127+O126+O125</f>
        <v>15323000</v>
      </c>
      <c r="P124" s="188"/>
      <c r="Q124" s="44">
        <f>Q129+Q128+Q127+Q126+Q125</f>
        <v>15735000</v>
      </c>
    </row>
    <row r="125" spans="2:17" ht="15.75" x14ac:dyDescent="0.25">
      <c r="B125" s="97">
        <f>B124+1</f>
        <v>2</v>
      </c>
      <c r="C125" s="45">
        <v>1</v>
      </c>
      <c r="D125" s="293" t="s">
        <v>510</v>
      </c>
      <c r="E125" s="294"/>
      <c r="F125" s="294"/>
      <c r="G125" s="294"/>
      <c r="H125" s="295"/>
      <c r="I125" s="46">
        <f>Výdavky!I790</f>
        <v>3757259</v>
      </c>
      <c r="J125" s="183"/>
      <c r="K125" s="46">
        <f>Výdavky!N790</f>
        <v>235000</v>
      </c>
      <c r="L125" s="183"/>
      <c r="M125" s="46">
        <f t="shared" ref="M125:M129" si="9">K125+I125</f>
        <v>3992259</v>
      </c>
      <c r="N125" s="189"/>
      <c r="O125" s="46">
        <v>3800000</v>
      </c>
      <c r="P125" s="189"/>
      <c r="Q125" s="46">
        <v>3850000</v>
      </c>
    </row>
    <row r="126" spans="2:17" ht="15.75" x14ac:dyDescent="0.25">
      <c r="B126" s="97">
        <v>3</v>
      </c>
      <c r="C126" s="45">
        <v>2</v>
      </c>
      <c r="D126" s="293" t="s">
        <v>542</v>
      </c>
      <c r="E126" s="294"/>
      <c r="F126" s="294"/>
      <c r="G126" s="294"/>
      <c r="H126" s="295"/>
      <c r="I126" s="46">
        <f>Výdavky!I1061</f>
        <v>7440384</v>
      </c>
      <c r="J126" s="183"/>
      <c r="K126" s="46">
        <f>Výdavky!N1061</f>
        <v>494902</v>
      </c>
      <c r="L126" s="183"/>
      <c r="M126" s="46">
        <f t="shared" si="9"/>
        <v>7935286</v>
      </c>
      <c r="N126" s="189"/>
      <c r="O126" s="46">
        <v>7700000</v>
      </c>
      <c r="P126" s="189"/>
      <c r="Q126" s="46">
        <v>8000000</v>
      </c>
    </row>
    <row r="127" spans="2:17" ht="15.75" x14ac:dyDescent="0.25">
      <c r="B127" s="97">
        <v>4</v>
      </c>
      <c r="C127" s="45">
        <v>3</v>
      </c>
      <c r="D127" s="293" t="s">
        <v>556</v>
      </c>
      <c r="E127" s="294"/>
      <c r="F127" s="294"/>
      <c r="G127" s="294"/>
      <c r="H127" s="295"/>
      <c r="I127" s="46">
        <f>Výdavky!I1341</f>
        <v>2232961</v>
      </c>
      <c r="J127" s="183"/>
      <c r="K127" s="46">
        <f>Výdavky!N1341</f>
        <v>0</v>
      </c>
      <c r="L127" s="183"/>
      <c r="M127" s="46">
        <f t="shared" si="9"/>
        <v>2232961</v>
      </c>
      <c r="N127" s="189"/>
      <c r="O127" s="46">
        <v>2280000</v>
      </c>
      <c r="P127" s="189"/>
      <c r="Q127" s="46">
        <v>2320000</v>
      </c>
    </row>
    <row r="128" spans="2:17" ht="15.75" x14ac:dyDescent="0.25">
      <c r="B128" s="97">
        <v>5</v>
      </c>
      <c r="C128" s="45">
        <v>4</v>
      </c>
      <c r="D128" s="293" t="s">
        <v>561</v>
      </c>
      <c r="E128" s="294"/>
      <c r="F128" s="294"/>
      <c r="G128" s="294"/>
      <c r="H128" s="295"/>
      <c r="I128" s="46">
        <f>Výdavky!I1466</f>
        <v>1301371</v>
      </c>
      <c r="J128" s="183"/>
      <c r="K128" s="46">
        <f>Výdavky!N1466</f>
        <v>33000</v>
      </c>
      <c r="L128" s="183"/>
      <c r="M128" s="46">
        <f t="shared" si="9"/>
        <v>1334371</v>
      </c>
      <c r="N128" s="189"/>
      <c r="O128" s="46">
        <v>1330000</v>
      </c>
      <c r="P128" s="189"/>
      <c r="Q128" s="46">
        <v>1350000</v>
      </c>
    </row>
    <row r="129" spans="2:17" ht="15.75" x14ac:dyDescent="0.25">
      <c r="B129" s="97">
        <v>6</v>
      </c>
      <c r="C129" s="45">
        <v>5</v>
      </c>
      <c r="D129" s="293" t="s">
        <v>568</v>
      </c>
      <c r="E129" s="294"/>
      <c r="F129" s="294"/>
      <c r="G129" s="294"/>
      <c r="H129" s="295"/>
      <c r="I129" s="46">
        <f>Výdavky!I1771</f>
        <v>211979</v>
      </c>
      <c r="J129" s="183"/>
      <c r="K129" s="46">
        <v>0</v>
      </c>
      <c r="L129" s="183"/>
      <c r="M129" s="46">
        <f t="shared" si="9"/>
        <v>211979</v>
      </c>
      <c r="N129" s="189"/>
      <c r="O129" s="46">
        <v>213000</v>
      </c>
      <c r="P129" s="189"/>
      <c r="Q129" s="46">
        <v>215000</v>
      </c>
    </row>
    <row r="132" spans="2:17" ht="27" x14ac:dyDescent="0.35">
      <c r="B132" s="310" t="s">
        <v>572</v>
      </c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</row>
    <row r="133" spans="2:17" ht="15.75" customHeight="1" x14ac:dyDescent="0.25">
      <c r="B133" s="279" t="s">
        <v>286</v>
      </c>
      <c r="C133" s="280"/>
      <c r="D133" s="280"/>
      <c r="E133" s="280"/>
      <c r="F133" s="280"/>
      <c r="G133" s="280"/>
      <c r="H133" s="280"/>
      <c r="I133" s="280"/>
      <c r="J133" s="280"/>
      <c r="K133" s="281"/>
      <c r="L133" s="185"/>
      <c r="M133" s="344" t="s">
        <v>941</v>
      </c>
      <c r="N133" s="187"/>
      <c r="O133" s="341" t="s">
        <v>942</v>
      </c>
      <c r="P133" s="191"/>
      <c r="Q133" s="341" t="s">
        <v>943</v>
      </c>
    </row>
    <row r="134" spans="2:17" ht="12.75" customHeight="1" x14ac:dyDescent="0.25">
      <c r="B134" s="282"/>
      <c r="C134" s="285" t="s">
        <v>287</v>
      </c>
      <c r="D134" s="285" t="s">
        <v>288</v>
      </c>
      <c r="E134" s="285" t="s">
        <v>289</v>
      </c>
      <c r="F134" s="285" t="s">
        <v>290</v>
      </c>
      <c r="G134" s="303" t="s">
        <v>291</v>
      </c>
      <c r="H134" s="305" t="s">
        <v>292</v>
      </c>
      <c r="I134" s="308" t="s">
        <v>935</v>
      </c>
      <c r="J134" s="171"/>
      <c r="K134" s="301" t="s">
        <v>936</v>
      </c>
      <c r="L134" s="186"/>
      <c r="M134" s="344"/>
      <c r="N134" s="187"/>
      <c r="O134" s="342"/>
      <c r="P134" s="192"/>
      <c r="Q134" s="342"/>
    </row>
    <row r="135" spans="2:17" x14ac:dyDescent="0.25">
      <c r="B135" s="283"/>
      <c r="C135" s="286"/>
      <c r="D135" s="286"/>
      <c r="E135" s="286"/>
      <c r="F135" s="286"/>
      <c r="G135" s="303"/>
      <c r="H135" s="306"/>
      <c r="I135" s="308"/>
      <c r="J135" s="171"/>
      <c r="K135" s="301"/>
      <c r="L135" s="186"/>
      <c r="M135" s="344"/>
      <c r="N135" s="187"/>
      <c r="O135" s="342"/>
      <c r="P135" s="192"/>
      <c r="Q135" s="342"/>
    </row>
    <row r="136" spans="2:17" x14ac:dyDescent="0.25">
      <c r="B136" s="283"/>
      <c r="C136" s="286"/>
      <c r="D136" s="286"/>
      <c r="E136" s="286"/>
      <c r="F136" s="286"/>
      <c r="G136" s="303"/>
      <c r="H136" s="306"/>
      <c r="I136" s="308"/>
      <c r="J136" s="171"/>
      <c r="K136" s="301"/>
      <c r="L136" s="186"/>
      <c r="M136" s="344"/>
      <c r="N136" s="187"/>
      <c r="O136" s="342"/>
      <c r="P136" s="192"/>
      <c r="Q136" s="342"/>
    </row>
    <row r="137" spans="2:17" ht="15.75" thickBot="1" x14ac:dyDescent="0.3">
      <c r="B137" s="284"/>
      <c r="C137" s="287"/>
      <c r="D137" s="287"/>
      <c r="E137" s="287"/>
      <c r="F137" s="287"/>
      <c r="G137" s="304"/>
      <c r="H137" s="307"/>
      <c r="I137" s="309"/>
      <c r="J137" s="181"/>
      <c r="K137" s="302"/>
      <c r="L137" s="186"/>
      <c r="M137" s="344"/>
      <c r="N137" s="187"/>
      <c r="O137" s="343"/>
      <c r="P137" s="192"/>
      <c r="Q137" s="343"/>
    </row>
    <row r="138" spans="2:17" ht="16.5" thickTop="1" x14ac:dyDescent="0.25">
      <c r="B138" s="98">
        <v>1</v>
      </c>
      <c r="C138" s="290" t="s">
        <v>572</v>
      </c>
      <c r="D138" s="291"/>
      <c r="E138" s="291"/>
      <c r="F138" s="291"/>
      <c r="G138" s="291"/>
      <c r="H138" s="292"/>
      <c r="I138" s="44">
        <f>I139+I140+I141+I147</f>
        <v>1985544</v>
      </c>
      <c r="J138" s="182"/>
      <c r="K138" s="44">
        <f>K139+K140+K141+K147</f>
        <v>986080</v>
      </c>
      <c r="L138" s="182"/>
      <c r="M138" s="44">
        <f>K138+I138</f>
        <v>2971624</v>
      </c>
      <c r="N138" s="188"/>
      <c r="O138" s="44">
        <f>O147+O141+O140+O139</f>
        <v>1988030</v>
      </c>
      <c r="P138" s="188"/>
      <c r="Q138" s="44">
        <f>Q147+Q141+Q140+Q139</f>
        <v>1988030</v>
      </c>
    </row>
    <row r="139" spans="2:17" ht="15.75" x14ac:dyDescent="0.25">
      <c r="B139" s="97">
        <f>B138+1</f>
        <v>2</v>
      </c>
      <c r="C139" s="45">
        <v>1</v>
      </c>
      <c r="D139" s="293" t="s">
        <v>573</v>
      </c>
      <c r="E139" s="294"/>
      <c r="F139" s="294"/>
      <c r="G139" s="294"/>
      <c r="H139" s="295"/>
      <c r="I139" s="46">
        <f>Výdavky!I1862</f>
        <v>1700</v>
      </c>
      <c r="J139" s="183"/>
      <c r="K139" s="46">
        <v>0</v>
      </c>
      <c r="L139" s="183"/>
      <c r="M139" s="46">
        <f t="shared" ref="M139:M147" si="10">K139+I139</f>
        <v>1700</v>
      </c>
      <c r="N139" s="189"/>
      <c r="O139" s="46">
        <v>1700</v>
      </c>
      <c r="P139" s="189"/>
      <c r="Q139" s="46">
        <v>1700</v>
      </c>
    </row>
    <row r="140" spans="2:17" ht="15.75" x14ac:dyDescent="0.25">
      <c r="B140" s="97">
        <v>3</v>
      </c>
      <c r="C140" s="45">
        <v>2</v>
      </c>
      <c r="D140" s="293" t="s">
        <v>575</v>
      </c>
      <c r="E140" s="294"/>
      <c r="F140" s="294"/>
      <c r="G140" s="294"/>
      <c r="H140" s="295"/>
      <c r="I140" s="46">
        <f>Výdavky!I1870</f>
        <v>584638</v>
      </c>
      <c r="J140" s="183"/>
      <c r="K140" s="46">
        <v>0</v>
      </c>
      <c r="L140" s="183"/>
      <c r="M140" s="46">
        <f t="shared" si="10"/>
        <v>584638</v>
      </c>
      <c r="N140" s="189"/>
      <c r="O140" s="46">
        <v>585000</v>
      </c>
      <c r="P140" s="189"/>
      <c r="Q140" s="46">
        <v>585000</v>
      </c>
    </row>
    <row r="141" spans="2:17" ht="15.75" x14ac:dyDescent="0.25">
      <c r="B141" s="97">
        <v>4</v>
      </c>
      <c r="C141" s="45">
        <v>3</v>
      </c>
      <c r="D141" s="293" t="s">
        <v>578</v>
      </c>
      <c r="E141" s="294"/>
      <c r="F141" s="294"/>
      <c r="G141" s="294"/>
      <c r="H141" s="295"/>
      <c r="I141" s="46">
        <f>I142+I143+I144+I145+I146</f>
        <v>1342187</v>
      </c>
      <c r="J141" s="183"/>
      <c r="K141" s="46">
        <f>K142+K143+K144+K145+K146</f>
        <v>686580</v>
      </c>
      <c r="L141" s="183"/>
      <c r="M141" s="46">
        <f t="shared" si="10"/>
        <v>2028767</v>
      </c>
      <c r="N141" s="189"/>
      <c r="O141" s="46">
        <f>O146+O145+O144+O143+O142</f>
        <v>1344330</v>
      </c>
      <c r="P141" s="189"/>
      <c r="Q141" s="46">
        <f>Q146+Q145+Q144+Q143+Q142</f>
        <v>1344330</v>
      </c>
    </row>
    <row r="142" spans="2:17" ht="14.25" customHeight="1" x14ac:dyDescent="0.25">
      <c r="B142" s="97">
        <v>5</v>
      </c>
      <c r="C142" s="47"/>
      <c r="D142" s="47">
        <v>1</v>
      </c>
      <c r="E142" s="296" t="s">
        <v>579</v>
      </c>
      <c r="F142" s="294"/>
      <c r="G142" s="294"/>
      <c r="H142" s="295"/>
      <c r="I142" s="48">
        <f>Výdavky!I1891</f>
        <v>160750</v>
      </c>
      <c r="J142" s="184"/>
      <c r="K142" s="48">
        <f>Výdavky!N1891</f>
        <v>0</v>
      </c>
      <c r="L142" s="184"/>
      <c r="M142" s="48">
        <f t="shared" si="10"/>
        <v>160750</v>
      </c>
      <c r="N142" s="190"/>
      <c r="O142" s="48">
        <v>160750</v>
      </c>
      <c r="P142" s="190"/>
      <c r="Q142" s="48">
        <v>160750</v>
      </c>
    </row>
    <row r="143" spans="2:17" x14ac:dyDescent="0.25">
      <c r="B143" s="97">
        <v>6</v>
      </c>
      <c r="C143" s="47"/>
      <c r="D143" s="47">
        <v>2</v>
      </c>
      <c r="E143" s="296" t="s">
        <v>580</v>
      </c>
      <c r="F143" s="294"/>
      <c r="G143" s="294"/>
      <c r="H143" s="295"/>
      <c r="I143" s="48">
        <f>Výdavky!I1899</f>
        <v>204580</v>
      </c>
      <c r="J143" s="184"/>
      <c r="K143" s="48">
        <f>Výdavky!N1899</f>
        <v>2700</v>
      </c>
      <c r="L143" s="184"/>
      <c r="M143" s="48">
        <f t="shared" si="10"/>
        <v>207280</v>
      </c>
      <c r="N143" s="190"/>
      <c r="O143" s="48">
        <v>204580</v>
      </c>
      <c r="P143" s="190"/>
      <c r="Q143" s="48">
        <v>204580</v>
      </c>
    </row>
    <row r="144" spans="2:17" x14ac:dyDescent="0.25">
      <c r="B144" s="97">
        <v>7</v>
      </c>
      <c r="C144" s="47"/>
      <c r="D144" s="47">
        <v>3</v>
      </c>
      <c r="E144" s="296" t="s">
        <v>88</v>
      </c>
      <c r="F144" s="294"/>
      <c r="G144" s="294"/>
      <c r="H144" s="295"/>
      <c r="I144" s="48">
        <f>Výdavky!I1917</f>
        <v>428820</v>
      </c>
      <c r="J144" s="184"/>
      <c r="K144" s="48">
        <f>Výdavky!N1917</f>
        <v>25000</v>
      </c>
      <c r="L144" s="184"/>
      <c r="M144" s="48">
        <f t="shared" si="10"/>
        <v>453820</v>
      </c>
      <c r="N144" s="190"/>
      <c r="O144" s="48">
        <v>430000</v>
      </c>
      <c r="P144" s="190"/>
      <c r="Q144" s="48">
        <v>430000</v>
      </c>
    </row>
    <row r="145" spans="2:17" x14ac:dyDescent="0.25">
      <c r="B145" s="97">
        <v>8</v>
      </c>
      <c r="C145" s="47"/>
      <c r="D145" s="47">
        <v>4</v>
      </c>
      <c r="E145" s="296" t="s">
        <v>587</v>
      </c>
      <c r="F145" s="294"/>
      <c r="G145" s="294"/>
      <c r="H145" s="295"/>
      <c r="I145" s="48">
        <f>Výdavky!I1942</f>
        <v>508037</v>
      </c>
      <c r="J145" s="184"/>
      <c r="K145" s="48">
        <f>Výdavky!N1942</f>
        <v>658880</v>
      </c>
      <c r="L145" s="184"/>
      <c r="M145" s="48">
        <f t="shared" si="10"/>
        <v>1166917</v>
      </c>
      <c r="N145" s="190"/>
      <c r="O145" s="48">
        <v>509000</v>
      </c>
      <c r="P145" s="190"/>
      <c r="Q145" s="48">
        <v>509000</v>
      </c>
    </row>
    <row r="146" spans="2:17" x14ac:dyDescent="0.25">
      <c r="B146" s="97">
        <v>9</v>
      </c>
      <c r="C146" s="47"/>
      <c r="D146" s="47">
        <v>5</v>
      </c>
      <c r="E146" s="296" t="s">
        <v>593</v>
      </c>
      <c r="F146" s="294"/>
      <c r="G146" s="294"/>
      <c r="H146" s="295"/>
      <c r="I146" s="48">
        <f>Výdavky!I1973</f>
        <v>40000</v>
      </c>
      <c r="J146" s="184"/>
      <c r="K146" s="48">
        <f>Výdavky!N1973</f>
        <v>0</v>
      </c>
      <c r="L146" s="184"/>
      <c r="M146" s="48">
        <f t="shared" si="10"/>
        <v>40000</v>
      </c>
      <c r="N146" s="190"/>
      <c r="O146" s="48">
        <v>40000</v>
      </c>
      <c r="P146" s="190"/>
      <c r="Q146" s="48">
        <v>40000</v>
      </c>
    </row>
    <row r="147" spans="2:17" ht="15.75" x14ac:dyDescent="0.25">
      <c r="B147" s="97">
        <v>10</v>
      </c>
      <c r="C147" s="45">
        <v>4</v>
      </c>
      <c r="D147" s="293" t="s">
        <v>594</v>
      </c>
      <c r="E147" s="294"/>
      <c r="F147" s="294"/>
      <c r="G147" s="294"/>
      <c r="H147" s="295"/>
      <c r="I147" s="46">
        <f>Výdavky!I1986</f>
        <v>57019</v>
      </c>
      <c r="J147" s="183"/>
      <c r="K147" s="46">
        <f>Výdavky!N1986</f>
        <v>299500</v>
      </c>
      <c r="L147" s="183"/>
      <c r="M147" s="46">
        <f t="shared" si="10"/>
        <v>356519</v>
      </c>
      <c r="N147" s="189"/>
      <c r="O147" s="46">
        <v>57000</v>
      </c>
      <c r="P147" s="189"/>
      <c r="Q147" s="46">
        <v>57000</v>
      </c>
    </row>
    <row r="148" spans="2:17" x14ac:dyDescent="0.25">
      <c r="B148" s="148"/>
      <c r="C148" s="94"/>
      <c r="D148" s="94"/>
      <c r="E148" s="94"/>
      <c r="F148" s="149"/>
      <c r="G148" s="150"/>
      <c r="H148" s="94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55" spans="2:17" ht="27" x14ac:dyDescent="0.35">
      <c r="B155" s="310" t="s">
        <v>600</v>
      </c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</row>
    <row r="156" spans="2:17" ht="15.75" customHeight="1" x14ac:dyDescent="0.25">
      <c r="B156" s="279" t="s">
        <v>286</v>
      </c>
      <c r="C156" s="280"/>
      <c r="D156" s="280"/>
      <c r="E156" s="280"/>
      <c r="F156" s="280"/>
      <c r="G156" s="280"/>
      <c r="H156" s="280"/>
      <c r="I156" s="280"/>
      <c r="J156" s="280"/>
      <c r="K156" s="281"/>
      <c r="L156" s="185"/>
      <c r="M156" s="344" t="s">
        <v>941</v>
      </c>
      <c r="N156" s="187"/>
      <c r="O156" s="341" t="s">
        <v>942</v>
      </c>
      <c r="P156" s="191"/>
      <c r="Q156" s="341" t="s">
        <v>943</v>
      </c>
    </row>
    <row r="157" spans="2:17" ht="12.75" customHeight="1" x14ac:dyDescent="0.25">
      <c r="B157" s="282"/>
      <c r="C157" s="285" t="s">
        <v>287</v>
      </c>
      <c r="D157" s="285" t="s">
        <v>288</v>
      </c>
      <c r="E157" s="285" t="s">
        <v>289</v>
      </c>
      <c r="F157" s="285" t="s">
        <v>290</v>
      </c>
      <c r="G157" s="303" t="s">
        <v>291</v>
      </c>
      <c r="H157" s="305" t="s">
        <v>292</v>
      </c>
      <c r="I157" s="308" t="s">
        <v>935</v>
      </c>
      <c r="J157" s="171"/>
      <c r="K157" s="301" t="s">
        <v>936</v>
      </c>
      <c r="L157" s="186"/>
      <c r="M157" s="344"/>
      <c r="N157" s="187"/>
      <c r="O157" s="342"/>
      <c r="P157" s="192"/>
      <c r="Q157" s="342"/>
    </row>
    <row r="158" spans="2:17" x14ac:dyDescent="0.25">
      <c r="B158" s="283"/>
      <c r="C158" s="286"/>
      <c r="D158" s="286"/>
      <c r="E158" s="286"/>
      <c r="F158" s="286"/>
      <c r="G158" s="303"/>
      <c r="H158" s="306"/>
      <c r="I158" s="308"/>
      <c r="J158" s="171"/>
      <c r="K158" s="301"/>
      <c r="L158" s="186"/>
      <c r="M158" s="344"/>
      <c r="N158" s="187"/>
      <c r="O158" s="342"/>
      <c r="P158" s="192"/>
      <c r="Q158" s="342"/>
    </row>
    <row r="159" spans="2:17" x14ac:dyDescent="0.25">
      <c r="B159" s="283"/>
      <c r="C159" s="286"/>
      <c r="D159" s="286"/>
      <c r="E159" s="286"/>
      <c r="F159" s="286"/>
      <c r="G159" s="303"/>
      <c r="H159" s="306"/>
      <c r="I159" s="308"/>
      <c r="J159" s="171"/>
      <c r="K159" s="301"/>
      <c r="L159" s="186"/>
      <c r="M159" s="344"/>
      <c r="N159" s="187"/>
      <c r="O159" s="342"/>
      <c r="P159" s="192"/>
      <c r="Q159" s="342"/>
    </row>
    <row r="160" spans="2:17" ht="15.75" thickBot="1" x14ac:dyDescent="0.3">
      <c r="B160" s="284"/>
      <c r="C160" s="287"/>
      <c r="D160" s="287"/>
      <c r="E160" s="287"/>
      <c r="F160" s="287"/>
      <c r="G160" s="304"/>
      <c r="H160" s="307"/>
      <c r="I160" s="309"/>
      <c r="J160" s="181"/>
      <c r="K160" s="302"/>
      <c r="L160" s="186"/>
      <c r="M160" s="344"/>
      <c r="N160" s="187"/>
      <c r="O160" s="343"/>
      <c r="P160" s="192"/>
      <c r="Q160" s="343"/>
    </row>
    <row r="161" spans="2:17" ht="16.5" thickTop="1" x14ac:dyDescent="0.25">
      <c r="B161" s="98">
        <v>1</v>
      </c>
      <c r="C161" s="290" t="s">
        <v>600</v>
      </c>
      <c r="D161" s="291"/>
      <c r="E161" s="291"/>
      <c r="F161" s="291"/>
      <c r="G161" s="291"/>
      <c r="H161" s="292"/>
      <c r="I161" s="44">
        <f>I162+I163+I164+I165</f>
        <v>403800</v>
      </c>
      <c r="J161" s="182"/>
      <c r="K161" s="44">
        <f>K162+K163+K164+K165</f>
        <v>82620</v>
      </c>
      <c r="L161" s="182"/>
      <c r="M161" s="44">
        <f>K161+I161</f>
        <v>486420</v>
      </c>
      <c r="N161" s="188"/>
      <c r="O161" s="44">
        <f>O165+O164+O163+O162</f>
        <v>397000</v>
      </c>
      <c r="P161" s="188"/>
      <c r="Q161" s="44">
        <f>Q165+Q164+Q163+Q162</f>
        <v>402000</v>
      </c>
    </row>
    <row r="162" spans="2:17" ht="15.75" x14ac:dyDescent="0.25">
      <c r="B162" s="97">
        <f>B161+1</f>
        <v>2</v>
      </c>
      <c r="C162" s="45">
        <v>1</v>
      </c>
      <c r="D162" s="293" t="s">
        <v>601</v>
      </c>
      <c r="E162" s="294"/>
      <c r="F162" s="294"/>
      <c r="G162" s="294"/>
      <c r="H162" s="295"/>
      <c r="I162" s="46">
        <f>Výdavky!I2049</f>
        <v>90000</v>
      </c>
      <c r="J162" s="183"/>
      <c r="K162" s="46">
        <v>0</v>
      </c>
      <c r="L162" s="183"/>
      <c r="M162" s="46">
        <f t="shared" ref="M162:M165" si="11">K162+I162</f>
        <v>90000</v>
      </c>
      <c r="N162" s="189"/>
      <c r="O162" s="46">
        <v>90000</v>
      </c>
      <c r="P162" s="189"/>
      <c r="Q162" s="46">
        <v>90000</v>
      </c>
    </row>
    <row r="163" spans="2:17" ht="15.75" x14ac:dyDescent="0.25">
      <c r="B163" s="97">
        <v>3</v>
      </c>
      <c r="C163" s="45">
        <v>2</v>
      </c>
      <c r="D163" s="293" t="s">
        <v>604</v>
      </c>
      <c r="E163" s="294"/>
      <c r="F163" s="294"/>
      <c r="G163" s="294"/>
      <c r="H163" s="295"/>
      <c r="I163" s="46">
        <f>Výdavky!I2077</f>
        <v>142100</v>
      </c>
      <c r="J163" s="183"/>
      <c r="K163" s="46">
        <v>0</v>
      </c>
      <c r="L163" s="183"/>
      <c r="M163" s="46">
        <f t="shared" si="11"/>
        <v>142100</v>
      </c>
      <c r="N163" s="189"/>
      <c r="O163" s="46">
        <v>135000</v>
      </c>
      <c r="P163" s="189"/>
      <c r="Q163" s="46">
        <v>140000</v>
      </c>
    </row>
    <row r="164" spans="2:17" ht="15.75" x14ac:dyDescent="0.25">
      <c r="B164" s="97">
        <v>4</v>
      </c>
      <c r="C164" s="45">
        <v>3</v>
      </c>
      <c r="D164" s="293" t="s">
        <v>606</v>
      </c>
      <c r="E164" s="294"/>
      <c r="F164" s="294"/>
      <c r="G164" s="294"/>
      <c r="H164" s="295"/>
      <c r="I164" s="46">
        <f>Výdavky!I2088</f>
        <v>171700</v>
      </c>
      <c r="J164" s="183"/>
      <c r="K164" s="46">
        <f>Výdavky!N2088</f>
        <v>64300</v>
      </c>
      <c r="L164" s="183"/>
      <c r="M164" s="46">
        <f t="shared" si="11"/>
        <v>236000</v>
      </c>
      <c r="N164" s="189"/>
      <c r="O164" s="46">
        <v>172000</v>
      </c>
      <c r="P164" s="189"/>
      <c r="Q164" s="46">
        <v>172000</v>
      </c>
    </row>
    <row r="165" spans="2:17" ht="15.75" x14ac:dyDescent="0.25">
      <c r="B165" s="97">
        <v>5</v>
      </c>
      <c r="C165" s="45">
        <v>4</v>
      </c>
      <c r="D165" s="293" t="s">
        <v>609</v>
      </c>
      <c r="E165" s="294"/>
      <c r="F165" s="294"/>
      <c r="G165" s="294"/>
      <c r="H165" s="295"/>
      <c r="I165" s="46">
        <v>0</v>
      </c>
      <c r="J165" s="183"/>
      <c r="K165" s="46">
        <f>Výdavky!N2116</f>
        <v>18320</v>
      </c>
      <c r="L165" s="183"/>
      <c r="M165" s="46">
        <f t="shared" si="11"/>
        <v>18320</v>
      </c>
      <c r="N165" s="189"/>
      <c r="O165" s="46">
        <v>0</v>
      </c>
      <c r="P165" s="189"/>
      <c r="Q165" s="46">
        <v>0</v>
      </c>
    </row>
    <row r="168" spans="2:17" ht="27" x14ac:dyDescent="0.35">
      <c r="B168" s="310" t="s">
        <v>610</v>
      </c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</row>
    <row r="169" spans="2:17" ht="15.75" customHeight="1" x14ac:dyDescent="0.25">
      <c r="B169" s="279" t="s">
        <v>286</v>
      </c>
      <c r="C169" s="280"/>
      <c r="D169" s="280"/>
      <c r="E169" s="280"/>
      <c r="F169" s="280"/>
      <c r="G169" s="280"/>
      <c r="H169" s="280"/>
      <c r="I169" s="280"/>
      <c r="J169" s="280"/>
      <c r="K169" s="281"/>
      <c r="L169" s="185"/>
      <c r="M169" s="344" t="s">
        <v>941</v>
      </c>
      <c r="N169" s="187"/>
      <c r="O169" s="341" t="s">
        <v>942</v>
      </c>
      <c r="P169" s="191"/>
      <c r="Q169" s="341" t="s">
        <v>943</v>
      </c>
    </row>
    <row r="170" spans="2:17" ht="12.75" customHeight="1" x14ac:dyDescent="0.25">
      <c r="B170" s="282"/>
      <c r="C170" s="285" t="s">
        <v>287</v>
      </c>
      <c r="D170" s="285" t="s">
        <v>288</v>
      </c>
      <c r="E170" s="285" t="s">
        <v>289</v>
      </c>
      <c r="F170" s="285" t="s">
        <v>290</v>
      </c>
      <c r="G170" s="303" t="s">
        <v>291</v>
      </c>
      <c r="H170" s="305" t="s">
        <v>292</v>
      </c>
      <c r="I170" s="308" t="s">
        <v>935</v>
      </c>
      <c r="J170" s="171"/>
      <c r="K170" s="301" t="s">
        <v>936</v>
      </c>
      <c r="L170" s="186"/>
      <c r="M170" s="344"/>
      <c r="N170" s="187"/>
      <c r="O170" s="342"/>
      <c r="P170" s="192"/>
      <c r="Q170" s="342"/>
    </row>
    <row r="171" spans="2:17" x14ac:dyDescent="0.25">
      <c r="B171" s="283"/>
      <c r="C171" s="286"/>
      <c r="D171" s="286"/>
      <c r="E171" s="286"/>
      <c r="F171" s="286"/>
      <c r="G171" s="303"/>
      <c r="H171" s="306"/>
      <c r="I171" s="308"/>
      <c r="J171" s="171"/>
      <c r="K171" s="301"/>
      <c r="L171" s="186"/>
      <c r="M171" s="344"/>
      <c r="N171" s="187"/>
      <c r="O171" s="342"/>
      <c r="P171" s="192"/>
      <c r="Q171" s="342"/>
    </row>
    <row r="172" spans="2:17" x14ac:dyDescent="0.25">
      <c r="B172" s="283"/>
      <c r="C172" s="286"/>
      <c r="D172" s="286"/>
      <c r="E172" s="286"/>
      <c r="F172" s="286"/>
      <c r="G172" s="303"/>
      <c r="H172" s="306"/>
      <c r="I172" s="308"/>
      <c r="J172" s="171"/>
      <c r="K172" s="301"/>
      <c r="L172" s="186"/>
      <c r="M172" s="344"/>
      <c r="N172" s="187"/>
      <c r="O172" s="342"/>
      <c r="P172" s="192"/>
      <c r="Q172" s="342"/>
    </row>
    <row r="173" spans="2:17" ht="15.75" thickBot="1" x14ac:dyDescent="0.3">
      <c r="B173" s="284"/>
      <c r="C173" s="287"/>
      <c r="D173" s="287"/>
      <c r="E173" s="287"/>
      <c r="F173" s="287"/>
      <c r="G173" s="304"/>
      <c r="H173" s="307"/>
      <c r="I173" s="309"/>
      <c r="J173" s="181"/>
      <c r="K173" s="302"/>
      <c r="L173" s="186"/>
      <c r="M173" s="344"/>
      <c r="N173" s="187"/>
      <c r="O173" s="343"/>
      <c r="P173" s="192"/>
      <c r="Q173" s="343"/>
    </row>
    <row r="174" spans="2:17" ht="16.5" thickTop="1" x14ac:dyDescent="0.25">
      <c r="B174" s="98">
        <v>1</v>
      </c>
      <c r="C174" s="290" t="s">
        <v>610</v>
      </c>
      <c r="D174" s="291"/>
      <c r="E174" s="291"/>
      <c r="F174" s="291"/>
      <c r="G174" s="291"/>
      <c r="H174" s="292"/>
      <c r="I174" s="44">
        <f>I175+I176+I179+I180+I181+I182</f>
        <v>3638890</v>
      </c>
      <c r="J174" s="182"/>
      <c r="K174" s="44">
        <f>K175+K176+K179+K180+K181+K182</f>
        <v>180770</v>
      </c>
      <c r="L174" s="182"/>
      <c r="M174" s="44"/>
      <c r="N174" s="188"/>
      <c r="O174" s="44">
        <f>O182+O181+O180+O179+O176+O175</f>
        <v>3587650</v>
      </c>
      <c r="P174" s="188"/>
      <c r="Q174" s="44">
        <f>Q182+Q181+Q180+Q179+Q176+Q175</f>
        <v>3587650</v>
      </c>
    </row>
    <row r="175" spans="2:17" ht="15.75" x14ac:dyDescent="0.25">
      <c r="B175" s="97">
        <f>B174+1</f>
        <v>2</v>
      </c>
      <c r="C175" s="45">
        <v>1</v>
      </c>
      <c r="D175" s="293" t="s">
        <v>611</v>
      </c>
      <c r="E175" s="294"/>
      <c r="F175" s="294"/>
      <c r="G175" s="294"/>
      <c r="H175" s="295"/>
      <c r="I175" s="46">
        <f>Výdavky!I2174</f>
        <v>768990</v>
      </c>
      <c r="J175" s="183"/>
      <c r="K175" s="46">
        <f>Výdavky!N2174</f>
        <v>112210</v>
      </c>
      <c r="L175" s="183"/>
      <c r="M175" s="46"/>
      <c r="N175" s="189"/>
      <c r="O175" s="46">
        <v>770000</v>
      </c>
      <c r="P175" s="189"/>
      <c r="Q175" s="46">
        <v>770000</v>
      </c>
    </row>
    <row r="176" spans="2:17" ht="15.75" x14ac:dyDescent="0.25">
      <c r="B176" s="97">
        <v>3</v>
      </c>
      <c r="C176" s="45">
        <v>2</v>
      </c>
      <c r="D176" s="293" t="s">
        <v>616</v>
      </c>
      <c r="E176" s="294"/>
      <c r="F176" s="294"/>
      <c r="G176" s="294"/>
      <c r="H176" s="295"/>
      <c r="I176" s="46">
        <f>I177+I178</f>
        <v>2554700</v>
      </c>
      <c r="J176" s="183"/>
      <c r="K176" s="46">
        <f>K177+K178</f>
        <v>65060</v>
      </c>
      <c r="L176" s="183"/>
      <c r="M176" s="46"/>
      <c r="N176" s="189"/>
      <c r="O176" s="46">
        <f>O178+O177</f>
        <v>2502300</v>
      </c>
      <c r="P176" s="189"/>
      <c r="Q176" s="46">
        <f>Q178+Q177</f>
        <v>2502300</v>
      </c>
    </row>
    <row r="177" spans="2:17" x14ac:dyDescent="0.25">
      <c r="B177" s="97">
        <v>4</v>
      </c>
      <c r="C177" s="47"/>
      <c r="D177" s="47">
        <v>1</v>
      </c>
      <c r="E177" s="296" t="s">
        <v>617</v>
      </c>
      <c r="F177" s="294"/>
      <c r="G177" s="294"/>
      <c r="H177" s="295"/>
      <c r="I177" s="48">
        <f>Výdavky!I2228</f>
        <v>2552400</v>
      </c>
      <c r="J177" s="184"/>
      <c r="K177" s="48">
        <f>Výdavky!N2228</f>
        <v>0</v>
      </c>
      <c r="L177" s="184"/>
      <c r="M177" s="48"/>
      <c r="N177" s="190"/>
      <c r="O177" s="48">
        <v>2500000</v>
      </c>
      <c r="P177" s="190"/>
      <c r="Q177" s="48">
        <v>2500000</v>
      </c>
    </row>
    <row r="178" spans="2:17" x14ac:dyDescent="0.25">
      <c r="B178" s="97">
        <v>5</v>
      </c>
      <c r="C178" s="47"/>
      <c r="D178" s="47">
        <v>2</v>
      </c>
      <c r="E178" s="296" t="s">
        <v>622</v>
      </c>
      <c r="F178" s="294"/>
      <c r="G178" s="294"/>
      <c r="H178" s="295"/>
      <c r="I178" s="48">
        <f>Výdavky!I2236</f>
        <v>2300</v>
      </c>
      <c r="J178" s="184"/>
      <c r="K178" s="48">
        <f>Výdavky!N2236</f>
        <v>65060</v>
      </c>
      <c r="L178" s="184"/>
      <c r="M178" s="48"/>
      <c r="N178" s="190"/>
      <c r="O178" s="48">
        <v>2300</v>
      </c>
      <c r="P178" s="190"/>
      <c r="Q178" s="48">
        <v>2300</v>
      </c>
    </row>
    <row r="179" spans="2:17" ht="15.75" x14ac:dyDescent="0.25">
      <c r="B179" s="97">
        <v>6</v>
      </c>
      <c r="C179" s="45">
        <v>3</v>
      </c>
      <c r="D179" s="293" t="s">
        <v>626</v>
      </c>
      <c r="E179" s="294"/>
      <c r="F179" s="294"/>
      <c r="G179" s="294"/>
      <c r="H179" s="295"/>
      <c r="I179" s="46">
        <f>Výdavky!I2246</f>
        <v>15000</v>
      </c>
      <c r="J179" s="183"/>
      <c r="K179" s="46">
        <f>Výdavky!N2246</f>
        <v>3500</v>
      </c>
      <c r="L179" s="183"/>
      <c r="M179" s="46"/>
      <c r="N179" s="189"/>
      <c r="O179" s="46">
        <v>15000</v>
      </c>
      <c r="P179" s="189"/>
      <c r="Q179" s="46">
        <v>15000</v>
      </c>
    </row>
    <row r="180" spans="2:17" ht="15.75" x14ac:dyDescent="0.25">
      <c r="B180" s="97">
        <v>7</v>
      </c>
      <c r="C180" s="45">
        <v>4</v>
      </c>
      <c r="D180" s="293" t="s">
        <v>629</v>
      </c>
      <c r="E180" s="294"/>
      <c r="F180" s="294"/>
      <c r="G180" s="294"/>
      <c r="H180" s="295"/>
      <c r="I180" s="46">
        <f>Výdavky!I2264</f>
        <v>20000</v>
      </c>
      <c r="J180" s="183"/>
      <c r="K180" s="46">
        <v>0</v>
      </c>
      <c r="L180" s="183"/>
      <c r="M180" s="46"/>
      <c r="N180" s="189"/>
      <c r="O180" s="46">
        <v>20000</v>
      </c>
      <c r="P180" s="189"/>
      <c r="Q180" s="46">
        <v>20000</v>
      </c>
    </row>
    <row r="181" spans="2:17" ht="15.75" x14ac:dyDescent="0.25">
      <c r="B181" s="97">
        <v>8</v>
      </c>
      <c r="C181" s="45">
        <v>5</v>
      </c>
      <c r="D181" s="293" t="s">
        <v>630</v>
      </c>
      <c r="E181" s="294"/>
      <c r="F181" s="294"/>
      <c r="G181" s="294"/>
      <c r="H181" s="295"/>
      <c r="I181" s="46">
        <f>Výdavky!I2271</f>
        <v>7350</v>
      </c>
      <c r="J181" s="183"/>
      <c r="K181" s="46">
        <f>Výdavky!N2271</f>
        <v>0</v>
      </c>
      <c r="L181" s="183"/>
      <c r="M181" s="46"/>
      <c r="N181" s="189"/>
      <c r="O181" s="46">
        <v>7350</v>
      </c>
      <c r="P181" s="189"/>
      <c r="Q181" s="46">
        <v>7350</v>
      </c>
    </row>
    <row r="182" spans="2:17" ht="15.75" x14ac:dyDescent="0.25">
      <c r="B182" s="97">
        <v>9</v>
      </c>
      <c r="C182" s="45">
        <v>6</v>
      </c>
      <c r="D182" s="293" t="s">
        <v>81</v>
      </c>
      <c r="E182" s="294"/>
      <c r="F182" s="294"/>
      <c r="G182" s="294"/>
      <c r="H182" s="295"/>
      <c r="I182" s="46">
        <f>Výdavky!I2286</f>
        <v>272850</v>
      </c>
      <c r="J182" s="183"/>
      <c r="K182" s="46">
        <f>Výdavky!N2286</f>
        <v>0</v>
      </c>
      <c r="L182" s="183"/>
      <c r="M182" s="46"/>
      <c r="N182" s="189"/>
      <c r="O182" s="46">
        <v>273000</v>
      </c>
      <c r="P182" s="189"/>
      <c r="Q182" s="46">
        <v>273000</v>
      </c>
    </row>
    <row r="191" spans="2:17" ht="27" x14ac:dyDescent="0.35">
      <c r="B191" s="310" t="s">
        <v>631</v>
      </c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</row>
    <row r="192" spans="2:17" ht="15.75" customHeight="1" x14ac:dyDescent="0.25">
      <c r="B192" s="279" t="s">
        <v>286</v>
      </c>
      <c r="C192" s="280"/>
      <c r="D192" s="280"/>
      <c r="E192" s="280"/>
      <c r="F192" s="280"/>
      <c r="G192" s="280"/>
      <c r="H192" s="280"/>
      <c r="I192" s="280"/>
      <c r="J192" s="280"/>
      <c r="K192" s="281"/>
      <c r="L192" s="185"/>
      <c r="M192" s="344" t="s">
        <v>941</v>
      </c>
      <c r="N192" s="187"/>
      <c r="O192" s="341" t="s">
        <v>942</v>
      </c>
      <c r="P192" s="191"/>
      <c r="Q192" s="341" t="s">
        <v>943</v>
      </c>
    </row>
    <row r="193" spans="2:17" ht="12.75" customHeight="1" x14ac:dyDescent="0.25">
      <c r="B193" s="282"/>
      <c r="C193" s="285" t="s">
        <v>287</v>
      </c>
      <c r="D193" s="285" t="s">
        <v>288</v>
      </c>
      <c r="E193" s="285" t="s">
        <v>289</v>
      </c>
      <c r="F193" s="285" t="s">
        <v>290</v>
      </c>
      <c r="G193" s="303" t="s">
        <v>291</v>
      </c>
      <c r="H193" s="305" t="s">
        <v>292</v>
      </c>
      <c r="I193" s="308" t="s">
        <v>935</v>
      </c>
      <c r="J193" s="171"/>
      <c r="K193" s="301" t="s">
        <v>936</v>
      </c>
      <c r="L193" s="186"/>
      <c r="M193" s="344"/>
      <c r="N193" s="187"/>
      <c r="O193" s="342"/>
      <c r="P193" s="192"/>
      <c r="Q193" s="342"/>
    </row>
    <row r="194" spans="2:17" x14ac:dyDescent="0.25">
      <c r="B194" s="283"/>
      <c r="C194" s="286"/>
      <c r="D194" s="286"/>
      <c r="E194" s="286"/>
      <c r="F194" s="286"/>
      <c r="G194" s="303"/>
      <c r="H194" s="306"/>
      <c r="I194" s="308"/>
      <c r="J194" s="171"/>
      <c r="K194" s="301"/>
      <c r="L194" s="186"/>
      <c r="M194" s="344"/>
      <c r="N194" s="187"/>
      <c r="O194" s="342"/>
      <c r="P194" s="192"/>
      <c r="Q194" s="342"/>
    </row>
    <row r="195" spans="2:17" x14ac:dyDescent="0.25">
      <c r="B195" s="283"/>
      <c r="C195" s="286"/>
      <c r="D195" s="286"/>
      <c r="E195" s="286"/>
      <c r="F195" s="286"/>
      <c r="G195" s="303"/>
      <c r="H195" s="306"/>
      <c r="I195" s="308"/>
      <c r="J195" s="171"/>
      <c r="K195" s="301"/>
      <c r="L195" s="186"/>
      <c r="M195" s="344"/>
      <c r="N195" s="187"/>
      <c r="O195" s="342"/>
      <c r="P195" s="192"/>
      <c r="Q195" s="342"/>
    </row>
    <row r="196" spans="2:17" ht="15.75" thickBot="1" x14ac:dyDescent="0.3">
      <c r="B196" s="284"/>
      <c r="C196" s="287"/>
      <c r="D196" s="287"/>
      <c r="E196" s="287"/>
      <c r="F196" s="287"/>
      <c r="G196" s="304"/>
      <c r="H196" s="307"/>
      <c r="I196" s="309"/>
      <c r="J196" s="181"/>
      <c r="K196" s="302"/>
      <c r="L196" s="186"/>
      <c r="M196" s="344"/>
      <c r="N196" s="187"/>
      <c r="O196" s="343"/>
      <c r="P196" s="192"/>
      <c r="Q196" s="343"/>
    </row>
    <row r="197" spans="2:17" ht="16.5" thickTop="1" x14ac:dyDescent="0.25">
      <c r="B197" s="98">
        <v>1</v>
      </c>
      <c r="C197" s="290" t="s">
        <v>631</v>
      </c>
      <c r="D197" s="291"/>
      <c r="E197" s="291"/>
      <c r="F197" s="291"/>
      <c r="G197" s="291"/>
      <c r="H197" s="292"/>
      <c r="I197" s="44">
        <f>I198+I199+I200+I201+I202+I206+I207+I208+I209+I210+I211</f>
        <v>2664450</v>
      </c>
      <c r="J197" s="182"/>
      <c r="K197" s="44">
        <f>K211+K210+K209+K208+K207+K206+K202+K201+K200+K199+K198</f>
        <v>10000</v>
      </c>
      <c r="L197" s="182"/>
      <c r="M197" s="44">
        <f>K197+I197</f>
        <v>2674450</v>
      </c>
      <c r="N197" s="188"/>
      <c r="O197" s="44">
        <f>O211+O210+O209+O208+O207+O206+O202+O201+O200+O199+O198</f>
        <v>2700000</v>
      </c>
      <c r="P197" s="188"/>
      <c r="Q197" s="44">
        <f>Q211+Q210+Q209+Q208+Q207+Q206+Q202+Q201+Q200+Q199+Q198</f>
        <v>2737700</v>
      </c>
    </row>
    <row r="198" spans="2:17" ht="15.75" x14ac:dyDescent="0.25">
      <c r="B198" s="97">
        <f>B197+1</f>
        <v>2</v>
      </c>
      <c r="C198" s="45">
        <v>1</v>
      </c>
      <c r="D198" s="293" t="s">
        <v>632</v>
      </c>
      <c r="E198" s="294"/>
      <c r="F198" s="294"/>
      <c r="G198" s="294"/>
      <c r="H198" s="295"/>
      <c r="I198" s="46">
        <f>Výdavky!I2363</f>
        <v>197900</v>
      </c>
      <c r="J198" s="183"/>
      <c r="K198" s="46">
        <f>Výdavky!N2363</f>
        <v>10000</v>
      </c>
      <c r="L198" s="183"/>
      <c r="M198" s="46">
        <f t="shared" ref="M198:M211" si="12">K198+I198</f>
        <v>207900</v>
      </c>
      <c r="N198" s="189"/>
      <c r="O198" s="46">
        <v>200000</v>
      </c>
      <c r="P198" s="189"/>
      <c r="Q198" s="46">
        <v>211000</v>
      </c>
    </row>
    <row r="199" spans="2:17" ht="15.75" x14ac:dyDescent="0.25">
      <c r="B199" s="97">
        <v>3</v>
      </c>
      <c r="C199" s="45">
        <v>2</v>
      </c>
      <c r="D199" s="293" t="s">
        <v>633</v>
      </c>
      <c r="E199" s="294"/>
      <c r="F199" s="294"/>
      <c r="G199" s="294"/>
      <c r="H199" s="295"/>
      <c r="I199" s="46">
        <f>Výdavky!I2378</f>
        <v>2000</v>
      </c>
      <c r="J199" s="183"/>
      <c r="K199" s="46">
        <v>0</v>
      </c>
      <c r="L199" s="183"/>
      <c r="M199" s="46">
        <f t="shared" si="12"/>
        <v>2000</v>
      </c>
      <c r="N199" s="189"/>
      <c r="O199" s="46">
        <v>2000</v>
      </c>
      <c r="P199" s="189"/>
      <c r="Q199" s="46">
        <v>2000</v>
      </c>
    </row>
    <row r="200" spans="2:17" ht="15.75" x14ac:dyDescent="0.25">
      <c r="B200" s="97">
        <v>4</v>
      </c>
      <c r="C200" s="45">
        <v>3</v>
      </c>
      <c r="D200" s="293" t="s">
        <v>634</v>
      </c>
      <c r="E200" s="294"/>
      <c r="F200" s="294"/>
      <c r="G200" s="294"/>
      <c r="H200" s="295"/>
      <c r="I200" s="46">
        <f>Výdavky!I2384</f>
        <v>35819</v>
      </c>
      <c r="J200" s="183"/>
      <c r="K200" s="46">
        <v>0</v>
      </c>
      <c r="L200" s="183"/>
      <c r="M200" s="46">
        <f t="shared" si="12"/>
        <v>35819</v>
      </c>
      <c r="N200" s="189"/>
      <c r="O200" s="46">
        <v>24000</v>
      </c>
      <c r="P200" s="189"/>
      <c r="Q200" s="46">
        <v>24000</v>
      </c>
    </row>
    <row r="201" spans="2:17" ht="15.75" x14ac:dyDescent="0.25">
      <c r="B201" s="97">
        <v>5</v>
      </c>
      <c r="C201" s="45">
        <v>4</v>
      </c>
      <c r="D201" s="293" t="s">
        <v>638</v>
      </c>
      <c r="E201" s="294"/>
      <c r="F201" s="294"/>
      <c r="G201" s="294"/>
      <c r="H201" s="295"/>
      <c r="I201" s="46">
        <f>Výdavky!I2407</f>
        <v>71900</v>
      </c>
      <c r="J201" s="183"/>
      <c r="K201" s="46">
        <v>0</v>
      </c>
      <c r="L201" s="183"/>
      <c r="M201" s="46">
        <f t="shared" si="12"/>
        <v>71900</v>
      </c>
      <c r="N201" s="189"/>
      <c r="O201" s="46">
        <v>75000</v>
      </c>
      <c r="P201" s="189"/>
      <c r="Q201" s="46">
        <v>78000</v>
      </c>
    </row>
    <row r="202" spans="2:17" ht="15.75" x14ac:dyDescent="0.25">
      <c r="B202" s="97">
        <v>6</v>
      </c>
      <c r="C202" s="45">
        <v>5</v>
      </c>
      <c r="D202" s="293" t="s">
        <v>639</v>
      </c>
      <c r="E202" s="294"/>
      <c r="F202" s="294"/>
      <c r="G202" s="294"/>
      <c r="H202" s="295"/>
      <c r="I202" s="46">
        <f>I203+I204+I205</f>
        <v>554151</v>
      </c>
      <c r="J202" s="183"/>
      <c r="K202" s="46">
        <v>0</v>
      </c>
      <c r="L202" s="183"/>
      <c r="M202" s="46">
        <f t="shared" si="12"/>
        <v>554151</v>
      </c>
      <c r="N202" s="189"/>
      <c r="O202" s="46">
        <f>O205+O204+O203</f>
        <v>571500</v>
      </c>
      <c r="P202" s="189"/>
      <c r="Q202" s="46">
        <f>Q205+Q204+Q203</f>
        <v>575200</v>
      </c>
    </row>
    <row r="203" spans="2:17" x14ac:dyDescent="0.25">
      <c r="B203" s="97">
        <v>7</v>
      </c>
      <c r="C203" s="47"/>
      <c r="D203" s="47">
        <v>1</v>
      </c>
      <c r="E203" s="296" t="s">
        <v>640</v>
      </c>
      <c r="F203" s="294"/>
      <c r="G203" s="294"/>
      <c r="H203" s="295"/>
      <c r="I203" s="48">
        <f>Výdavky!I2421</f>
        <v>8231</v>
      </c>
      <c r="J203" s="184"/>
      <c r="K203" s="48">
        <v>0</v>
      </c>
      <c r="L203" s="184"/>
      <c r="M203" s="48">
        <f t="shared" si="12"/>
        <v>8231</v>
      </c>
      <c r="N203" s="190"/>
      <c r="O203" s="48">
        <v>8200</v>
      </c>
      <c r="P203" s="190"/>
      <c r="Q203" s="48">
        <v>8200</v>
      </c>
    </row>
    <row r="204" spans="2:17" x14ac:dyDescent="0.25">
      <c r="B204" s="97">
        <v>8</v>
      </c>
      <c r="C204" s="47"/>
      <c r="D204" s="47">
        <v>2</v>
      </c>
      <c r="E204" s="296" t="s">
        <v>643</v>
      </c>
      <c r="F204" s="294"/>
      <c r="G204" s="294"/>
      <c r="H204" s="295"/>
      <c r="I204" s="48">
        <f>Výdavky!I2434</f>
        <v>523920</v>
      </c>
      <c r="J204" s="184"/>
      <c r="K204" s="48">
        <v>0</v>
      </c>
      <c r="L204" s="184"/>
      <c r="M204" s="48">
        <f t="shared" si="12"/>
        <v>523920</v>
      </c>
      <c r="N204" s="190"/>
      <c r="O204" s="48">
        <v>541300</v>
      </c>
      <c r="P204" s="190"/>
      <c r="Q204" s="48">
        <v>545000</v>
      </c>
    </row>
    <row r="205" spans="2:17" x14ac:dyDescent="0.25">
      <c r="B205" s="97">
        <v>9</v>
      </c>
      <c r="C205" s="47"/>
      <c r="D205" s="47">
        <v>3</v>
      </c>
      <c r="E205" s="296" t="s">
        <v>645</v>
      </c>
      <c r="F205" s="294"/>
      <c r="G205" s="294"/>
      <c r="H205" s="295"/>
      <c r="I205" s="162">
        <f>Výdavky!I2454</f>
        <v>22000</v>
      </c>
      <c r="J205" s="184"/>
      <c r="K205" s="48">
        <v>0</v>
      </c>
      <c r="L205" s="184"/>
      <c r="M205" s="48">
        <f t="shared" si="12"/>
        <v>22000</v>
      </c>
      <c r="N205" s="190"/>
      <c r="O205" s="48">
        <v>22000</v>
      </c>
      <c r="P205" s="190"/>
      <c r="Q205" s="48">
        <v>22000</v>
      </c>
    </row>
    <row r="206" spans="2:17" ht="15.75" x14ac:dyDescent="0.25">
      <c r="B206" s="97">
        <v>10</v>
      </c>
      <c r="C206" s="45">
        <v>6</v>
      </c>
      <c r="D206" s="293" t="s">
        <v>647</v>
      </c>
      <c r="E206" s="294"/>
      <c r="F206" s="294"/>
      <c r="G206" s="294"/>
      <c r="H206" s="295"/>
      <c r="I206" s="46">
        <f>Výdavky!I2468</f>
        <v>1043220</v>
      </c>
      <c r="J206" s="183"/>
      <c r="K206" s="46">
        <v>0</v>
      </c>
      <c r="L206" s="183"/>
      <c r="M206" s="46">
        <f t="shared" si="12"/>
        <v>1043220</v>
      </c>
      <c r="N206" s="189"/>
      <c r="O206" s="46">
        <v>1050000</v>
      </c>
      <c r="P206" s="189">
        <v>1044</v>
      </c>
      <c r="Q206" s="46">
        <v>1062000</v>
      </c>
    </row>
    <row r="207" spans="2:17" ht="15.75" x14ac:dyDescent="0.25">
      <c r="B207" s="97">
        <v>11</v>
      </c>
      <c r="C207" s="45">
        <v>7</v>
      </c>
      <c r="D207" s="293" t="s">
        <v>649</v>
      </c>
      <c r="E207" s="294"/>
      <c r="F207" s="294"/>
      <c r="G207" s="294"/>
      <c r="H207" s="295"/>
      <c r="I207" s="46">
        <f>Výdavky!I2490</f>
        <v>579460</v>
      </c>
      <c r="J207" s="183"/>
      <c r="K207" s="46">
        <v>0</v>
      </c>
      <c r="L207" s="183"/>
      <c r="M207" s="46">
        <f t="shared" si="12"/>
        <v>579460</v>
      </c>
      <c r="N207" s="189"/>
      <c r="O207" s="46">
        <v>590000</v>
      </c>
      <c r="P207" s="189"/>
      <c r="Q207" s="46">
        <v>590000</v>
      </c>
    </row>
    <row r="208" spans="2:17" ht="15.75" x14ac:dyDescent="0.25">
      <c r="B208" s="97">
        <v>12</v>
      </c>
      <c r="C208" s="45">
        <v>8</v>
      </c>
      <c r="D208" s="293" t="s">
        <v>650</v>
      </c>
      <c r="E208" s="294"/>
      <c r="F208" s="294"/>
      <c r="G208" s="294"/>
      <c r="H208" s="295"/>
      <c r="I208" s="46">
        <f>Výdavky!I2503</f>
        <v>4000</v>
      </c>
      <c r="J208" s="183"/>
      <c r="K208" s="46">
        <v>0</v>
      </c>
      <c r="L208" s="183"/>
      <c r="M208" s="46">
        <f t="shared" si="12"/>
        <v>4000</v>
      </c>
      <c r="N208" s="189"/>
      <c r="O208" s="46">
        <v>4000</v>
      </c>
      <c r="P208" s="189"/>
      <c r="Q208" s="46">
        <v>4000</v>
      </c>
    </row>
    <row r="209" spans="2:17" ht="15.75" x14ac:dyDescent="0.25">
      <c r="B209" s="97">
        <v>13</v>
      </c>
      <c r="C209" s="45">
        <v>9</v>
      </c>
      <c r="D209" s="293" t="s">
        <v>651</v>
      </c>
      <c r="E209" s="294"/>
      <c r="F209" s="294"/>
      <c r="G209" s="294"/>
      <c r="H209" s="295"/>
      <c r="I209" s="46">
        <f>Výdavky!I2509</f>
        <v>19000</v>
      </c>
      <c r="J209" s="183"/>
      <c r="K209" s="46">
        <v>0</v>
      </c>
      <c r="L209" s="183"/>
      <c r="M209" s="46">
        <f t="shared" si="12"/>
        <v>19000</v>
      </c>
      <c r="N209" s="189"/>
      <c r="O209" s="46">
        <v>19000</v>
      </c>
      <c r="P209" s="189"/>
      <c r="Q209" s="46">
        <v>19000</v>
      </c>
    </row>
    <row r="210" spans="2:17" ht="15.75" x14ac:dyDescent="0.25">
      <c r="B210" s="97">
        <v>14</v>
      </c>
      <c r="C210" s="45">
        <v>10</v>
      </c>
      <c r="D210" s="293" t="s">
        <v>652</v>
      </c>
      <c r="E210" s="294"/>
      <c r="F210" s="294"/>
      <c r="G210" s="294"/>
      <c r="H210" s="295"/>
      <c r="I210" s="46">
        <f>Výdavky!I2517</f>
        <v>12570</v>
      </c>
      <c r="J210" s="183"/>
      <c r="K210" s="46">
        <v>0</v>
      </c>
      <c r="L210" s="183"/>
      <c r="M210" s="46">
        <f t="shared" si="12"/>
        <v>12570</v>
      </c>
      <c r="N210" s="189"/>
      <c r="O210" s="46">
        <v>14500</v>
      </c>
      <c r="P210" s="189"/>
      <c r="Q210" s="46">
        <v>16500</v>
      </c>
    </row>
    <row r="211" spans="2:17" ht="15.75" x14ac:dyDescent="0.25">
      <c r="B211" s="97">
        <v>15</v>
      </c>
      <c r="C211" s="45">
        <v>11</v>
      </c>
      <c r="D211" s="293" t="s">
        <v>653</v>
      </c>
      <c r="E211" s="294"/>
      <c r="F211" s="294"/>
      <c r="G211" s="294"/>
      <c r="H211" s="295"/>
      <c r="I211" s="46">
        <f>Výdavky!I2528</f>
        <v>144430</v>
      </c>
      <c r="J211" s="183"/>
      <c r="K211" s="46">
        <v>0</v>
      </c>
      <c r="L211" s="183"/>
      <c r="M211" s="46">
        <f t="shared" si="12"/>
        <v>144430</v>
      </c>
      <c r="N211" s="189"/>
      <c r="O211" s="46">
        <v>150000</v>
      </c>
      <c r="P211" s="189"/>
      <c r="Q211" s="46">
        <v>156000</v>
      </c>
    </row>
    <row r="213" spans="2:17" ht="27" x14ac:dyDescent="0.35">
      <c r="B213" s="310" t="s">
        <v>655</v>
      </c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</row>
    <row r="214" spans="2:17" ht="15.75" customHeight="1" x14ac:dyDescent="0.25">
      <c r="B214" s="279" t="s">
        <v>286</v>
      </c>
      <c r="C214" s="280"/>
      <c r="D214" s="280"/>
      <c r="E214" s="280"/>
      <c r="F214" s="280"/>
      <c r="G214" s="280"/>
      <c r="H214" s="280"/>
      <c r="I214" s="280"/>
      <c r="J214" s="280"/>
      <c r="K214" s="281"/>
      <c r="L214" s="185"/>
      <c r="M214" s="344" t="s">
        <v>941</v>
      </c>
      <c r="N214" s="187"/>
      <c r="O214" s="341" t="s">
        <v>942</v>
      </c>
      <c r="P214" s="191"/>
      <c r="Q214" s="341" t="s">
        <v>943</v>
      </c>
    </row>
    <row r="215" spans="2:17" ht="12.75" customHeight="1" x14ac:dyDescent="0.25">
      <c r="B215" s="282"/>
      <c r="C215" s="285" t="s">
        <v>287</v>
      </c>
      <c r="D215" s="285" t="s">
        <v>288</v>
      </c>
      <c r="E215" s="285" t="s">
        <v>289</v>
      </c>
      <c r="F215" s="285" t="s">
        <v>290</v>
      </c>
      <c r="G215" s="303" t="s">
        <v>291</v>
      </c>
      <c r="H215" s="305" t="s">
        <v>292</v>
      </c>
      <c r="I215" s="308" t="s">
        <v>935</v>
      </c>
      <c r="J215" s="171"/>
      <c r="K215" s="301" t="s">
        <v>936</v>
      </c>
      <c r="L215" s="186"/>
      <c r="M215" s="344"/>
      <c r="N215" s="187"/>
      <c r="O215" s="342"/>
      <c r="P215" s="192"/>
      <c r="Q215" s="342"/>
    </row>
    <row r="216" spans="2:17" x14ac:dyDescent="0.25">
      <c r="B216" s="283"/>
      <c r="C216" s="286"/>
      <c r="D216" s="286"/>
      <c r="E216" s="286"/>
      <c r="F216" s="286"/>
      <c r="G216" s="303"/>
      <c r="H216" s="306"/>
      <c r="I216" s="308"/>
      <c r="J216" s="171"/>
      <c r="K216" s="301"/>
      <c r="L216" s="186"/>
      <c r="M216" s="344"/>
      <c r="N216" s="187"/>
      <c r="O216" s="342"/>
      <c r="P216" s="192"/>
      <c r="Q216" s="342"/>
    </row>
    <row r="217" spans="2:17" x14ac:dyDescent="0.25">
      <c r="B217" s="283"/>
      <c r="C217" s="286"/>
      <c r="D217" s="286"/>
      <c r="E217" s="286"/>
      <c r="F217" s="286"/>
      <c r="G217" s="303"/>
      <c r="H217" s="306"/>
      <c r="I217" s="308"/>
      <c r="J217" s="171"/>
      <c r="K217" s="301"/>
      <c r="L217" s="186"/>
      <c r="M217" s="344"/>
      <c r="N217" s="187"/>
      <c r="O217" s="342"/>
      <c r="P217" s="192"/>
      <c r="Q217" s="342"/>
    </row>
    <row r="218" spans="2:17" ht="15.75" thickBot="1" x14ac:dyDescent="0.3">
      <c r="B218" s="284"/>
      <c r="C218" s="287"/>
      <c r="D218" s="287"/>
      <c r="E218" s="287"/>
      <c r="F218" s="287"/>
      <c r="G218" s="304"/>
      <c r="H218" s="307"/>
      <c r="I218" s="309"/>
      <c r="J218" s="181"/>
      <c r="K218" s="302"/>
      <c r="L218" s="186"/>
      <c r="M218" s="344"/>
      <c r="N218" s="187"/>
      <c r="O218" s="343"/>
      <c r="P218" s="192"/>
      <c r="Q218" s="343"/>
    </row>
    <row r="219" spans="2:17" ht="16.5" thickTop="1" x14ac:dyDescent="0.25">
      <c r="B219" s="98">
        <v>1</v>
      </c>
      <c r="C219" s="290" t="s">
        <v>655</v>
      </c>
      <c r="D219" s="291"/>
      <c r="E219" s="291"/>
      <c r="F219" s="291"/>
      <c r="G219" s="291"/>
      <c r="H219" s="292"/>
      <c r="I219" s="44">
        <f>I220</f>
        <v>202050</v>
      </c>
      <c r="J219" s="182"/>
      <c r="K219" s="44">
        <f t="shared" ref="K219:Q219" si="13">K220</f>
        <v>2355000</v>
      </c>
      <c r="L219" s="182"/>
      <c r="M219" s="44">
        <f>K219+I219</f>
        <v>2557050</v>
      </c>
      <c r="N219" s="188"/>
      <c r="O219" s="44">
        <f t="shared" si="13"/>
        <v>278750</v>
      </c>
      <c r="P219" s="188"/>
      <c r="Q219" s="44">
        <f t="shared" si="13"/>
        <v>278750</v>
      </c>
    </row>
    <row r="220" spans="2:17" ht="19.5" customHeight="1" x14ac:dyDescent="0.25">
      <c r="B220" s="97">
        <f>B219+1</f>
        <v>2</v>
      </c>
      <c r="C220" s="45">
        <v>1</v>
      </c>
      <c r="D220" s="293" t="s">
        <v>656</v>
      </c>
      <c r="E220" s="294"/>
      <c r="F220" s="294"/>
      <c r="G220" s="294"/>
      <c r="H220" s="295"/>
      <c r="I220" s="46">
        <f>I221+I222+I223</f>
        <v>202050</v>
      </c>
      <c r="J220" s="183"/>
      <c r="K220" s="46">
        <f>K221+K222+K223</f>
        <v>2355000</v>
      </c>
      <c r="L220" s="183"/>
      <c r="M220" s="46">
        <f t="shared" ref="M220:M223" si="14">K220+I220</f>
        <v>2557050</v>
      </c>
      <c r="N220" s="189"/>
      <c r="O220" s="46">
        <f>SUM(O221:O223)</f>
        <v>278750</v>
      </c>
      <c r="P220" s="189"/>
      <c r="Q220" s="46">
        <f>SUM(Q221:Q223)</f>
        <v>278750</v>
      </c>
    </row>
    <row r="221" spans="2:17" x14ac:dyDescent="0.25">
      <c r="B221" s="97">
        <f>B220+1</f>
        <v>3</v>
      </c>
      <c r="C221" s="47"/>
      <c r="D221" s="47">
        <v>1</v>
      </c>
      <c r="E221" s="296" t="s">
        <v>657</v>
      </c>
      <c r="F221" s="294"/>
      <c r="G221" s="294"/>
      <c r="H221" s="295"/>
      <c r="I221" s="48">
        <f>Výdavky!I2562</f>
        <v>165600</v>
      </c>
      <c r="J221" s="184"/>
      <c r="K221" s="48">
        <v>0</v>
      </c>
      <c r="L221" s="184"/>
      <c r="M221" s="48">
        <f t="shared" si="14"/>
        <v>165600</v>
      </c>
      <c r="N221" s="190"/>
      <c r="O221" s="48">
        <f>165600+76700</f>
        <v>242300</v>
      </c>
      <c r="P221" s="190"/>
      <c r="Q221" s="48">
        <v>242300</v>
      </c>
    </row>
    <row r="222" spans="2:17" x14ac:dyDescent="0.25">
      <c r="B222" s="97">
        <v>4</v>
      </c>
      <c r="C222" s="47"/>
      <c r="D222" s="47">
        <v>2</v>
      </c>
      <c r="E222" s="296" t="s">
        <v>786</v>
      </c>
      <c r="F222" s="294"/>
      <c r="G222" s="294"/>
      <c r="H222" s="295"/>
      <c r="I222" s="48">
        <v>0</v>
      </c>
      <c r="J222" s="184"/>
      <c r="K222" s="48">
        <f>Výdavky!N2570</f>
        <v>0</v>
      </c>
      <c r="L222" s="184"/>
      <c r="M222" s="48">
        <f t="shared" si="14"/>
        <v>0</v>
      </c>
      <c r="N222" s="190"/>
      <c r="O222" s="48"/>
      <c r="P222" s="190"/>
      <c r="Q222" s="48"/>
    </row>
    <row r="223" spans="2:17" x14ac:dyDescent="0.25">
      <c r="B223" s="97">
        <v>5</v>
      </c>
      <c r="C223" s="47"/>
      <c r="D223" s="47">
        <v>3</v>
      </c>
      <c r="E223" s="296" t="s">
        <v>658</v>
      </c>
      <c r="F223" s="294"/>
      <c r="G223" s="294"/>
      <c r="H223" s="295"/>
      <c r="I223" s="48">
        <f>Výdavky!I2571</f>
        <v>36450</v>
      </c>
      <c r="J223" s="184"/>
      <c r="K223" s="48">
        <f>Výdavky!N2571</f>
        <v>2355000</v>
      </c>
      <c r="L223" s="184"/>
      <c r="M223" s="48">
        <f t="shared" si="14"/>
        <v>2391450</v>
      </c>
      <c r="N223" s="190"/>
      <c r="O223" s="48">
        <v>36450</v>
      </c>
      <c r="P223" s="190"/>
      <c r="Q223" s="48">
        <v>36450</v>
      </c>
    </row>
  </sheetData>
  <mergeCells count="266">
    <mergeCell ref="B4:Q4"/>
    <mergeCell ref="E222:H222"/>
    <mergeCell ref="E223:H223"/>
    <mergeCell ref="M5:M9"/>
    <mergeCell ref="B5:K5"/>
    <mergeCell ref="O5:O9"/>
    <mergeCell ref="D19:H19"/>
    <mergeCell ref="D20:H20"/>
    <mergeCell ref="D21:H21"/>
    <mergeCell ref="B27:K27"/>
    <mergeCell ref="D209:H209"/>
    <mergeCell ref="D210:H210"/>
    <mergeCell ref="D211:H211"/>
    <mergeCell ref="E203:H203"/>
    <mergeCell ref="E204:H204"/>
    <mergeCell ref="E205:H205"/>
    <mergeCell ref="D206:H206"/>
    <mergeCell ref="D207:H207"/>
    <mergeCell ref="D208:H208"/>
    <mergeCell ref="D200:H200"/>
    <mergeCell ref="C219:H219"/>
    <mergeCell ref="D220:H220"/>
    <mergeCell ref="E221:H221"/>
    <mergeCell ref="M214:M218"/>
    <mergeCell ref="O214:O218"/>
    <mergeCell ref="Q214:Q218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D201:H201"/>
    <mergeCell ref="D202:H202"/>
    <mergeCell ref="C197:H197"/>
    <mergeCell ref="D198:H198"/>
    <mergeCell ref="D199:H199"/>
    <mergeCell ref="K193:K196"/>
    <mergeCell ref="B215:B218"/>
    <mergeCell ref="C215:C218"/>
    <mergeCell ref="D215:D218"/>
    <mergeCell ref="E215:E218"/>
    <mergeCell ref="F215:F218"/>
    <mergeCell ref="G215:G218"/>
    <mergeCell ref="H215:H218"/>
    <mergeCell ref="K215:K218"/>
    <mergeCell ref="B213:Q213"/>
    <mergeCell ref="D181:H181"/>
    <mergeCell ref="D182:H182"/>
    <mergeCell ref="B191:Q191"/>
    <mergeCell ref="D176:H176"/>
    <mergeCell ref="E177:H177"/>
    <mergeCell ref="E178:H178"/>
    <mergeCell ref="D179:H179"/>
    <mergeCell ref="D180:H180"/>
    <mergeCell ref="B192:K192"/>
    <mergeCell ref="M192:M196"/>
    <mergeCell ref="O192:O196"/>
    <mergeCell ref="Q192:Q196"/>
    <mergeCell ref="I215:I218"/>
    <mergeCell ref="B214:K214"/>
    <mergeCell ref="D163:H163"/>
    <mergeCell ref="D164:H164"/>
    <mergeCell ref="D165:H165"/>
    <mergeCell ref="C161:H161"/>
    <mergeCell ref="D162:H162"/>
    <mergeCell ref="K157:K160"/>
    <mergeCell ref="C174:H174"/>
    <mergeCell ref="D175:H175"/>
    <mergeCell ref="K170:K173"/>
    <mergeCell ref="B168:Q168"/>
    <mergeCell ref="B170:B173"/>
    <mergeCell ref="C170:C173"/>
    <mergeCell ref="D170:D173"/>
    <mergeCell ref="E170:E173"/>
    <mergeCell ref="F170:F173"/>
    <mergeCell ref="G170:G173"/>
    <mergeCell ref="H170:H173"/>
    <mergeCell ref="I170:I173"/>
    <mergeCell ref="B169:K169"/>
    <mergeCell ref="M169:M173"/>
    <mergeCell ref="O169:O173"/>
    <mergeCell ref="Q169:Q173"/>
    <mergeCell ref="B155:Q155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B156:K156"/>
    <mergeCell ref="M156:M160"/>
    <mergeCell ref="O156:O160"/>
    <mergeCell ref="Q156:Q160"/>
    <mergeCell ref="E143:H143"/>
    <mergeCell ref="E144:H144"/>
    <mergeCell ref="E145:H145"/>
    <mergeCell ref="E146:H146"/>
    <mergeCell ref="D147:H147"/>
    <mergeCell ref="D139:H139"/>
    <mergeCell ref="D140:H140"/>
    <mergeCell ref="D141:H141"/>
    <mergeCell ref="E142:H142"/>
    <mergeCell ref="K134:K137"/>
    <mergeCell ref="C138:H138"/>
    <mergeCell ref="M133:M137"/>
    <mergeCell ref="O133:O137"/>
    <mergeCell ref="Q133:Q137"/>
    <mergeCell ref="H134:H137"/>
    <mergeCell ref="I134:I137"/>
    <mergeCell ref="D129:H129"/>
    <mergeCell ref="B132:Q132"/>
    <mergeCell ref="B134:B137"/>
    <mergeCell ref="C134:C137"/>
    <mergeCell ref="D134:D137"/>
    <mergeCell ref="E134:E137"/>
    <mergeCell ref="F134:F137"/>
    <mergeCell ref="G134:G137"/>
    <mergeCell ref="B133:K133"/>
    <mergeCell ref="D126:H126"/>
    <mergeCell ref="D127:H127"/>
    <mergeCell ref="D128:H128"/>
    <mergeCell ref="C124:H124"/>
    <mergeCell ref="D125:H125"/>
    <mergeCell ref="M119:M123"/>
    <mergeCell ref="O119:O123"/>
    <mergeCell ref="Q119:Q123"/>
    <mergeCell ref="K120:K123"/>
    <mergeCell ref="O95:O99"/>
    <mergeCell ref="Q95:Q99"/>
    <mergeCell ref="H96:H99"/>
    <mergeCell ref="I96:I99"/>
    <mergeCell ref="B118:Q118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G96:G99"/>
    <mergeCell ref="D90:H90"/>
    <mergeCell ref="D101:H101"/>
    <mergeCell ref="D102:H102"/>
    <mergeCell ref="D103:H103"/>
    <mergeCell ref="K96:K99"/>
    <mergeCell ref="C100:H100"/>
    <mergeCell ref="C86:H86"/>
    <mergeCell ref="D87:H87"/>
    <mergeCell ref="M95:M99"/>
    <mergeCell ref="M81:M85"/>
    <mergeCell ref="O81:O85"/>
    <mergeCell ref="Q81:Q85"/>
    <mergeCell ref="B119:K119"/>
    <mergeCell ref="K82:K85"/>
    <mergeCell ref="B95:K95"/>
    <mergeCell ref="B80:Q80"/>
    <mergeCell ref="B82:B85"/>
    <mergeCell ref="C82:C85"/>
    <mergeCell ref="D82:D85"/>
    <mergeCell ref="E82:E85"/>
    <mergeCell ref="F82:F85"/>
    <mergeCell ref="G82:G85"/>
    <mergeCell ref="H82:H85"/>
    <mergeCell ref="I82:I85"/>
    <mergeCell ref="D91:H91"/>
    <mergeCell ref="B94:Q94"/>
    <mergeCell ref="B96:B99"/>
    <mergeCell ref="C96:C99"/>
    <mergeCell ref="D96:D99"/>
    <mergeCell ref="E96:E99"/>
    <mergeCell ref="F96:F99"/>
    <mergeCell ref="D88:H88"/>
    <mergeCell ref="D89:H89"/>
    <mergeCell ref="D74:H74"/>
    <mergeCell ref="D75:H75"/>
    <mergeCell ref="D76:H76"/>
    <mergeCell ref="D71:H71"/>
    <mergeCell ref="D72:H72"/>
    <mergeCell ref="D73:H73"/>
    <mergeCell ref="B81:K81"/>
    <mergeCell ref="C69:H69"/>
    <mergeCell ref="D70:H70"/>
    <mergeCell ref="M64:M68"/>
    <mergeCell ref="O64:O68"/>
    <mergeCell ref="Q64:Q68"/>
    <mergeCell ref="I65:I68"/>
    <mergeCell ref="K65:K68"/>
    <mergeCell ref="B63:Q63"/>
    <mergeCell ref="B65:B68"/>
    <mergeCell ref="C65:C68"/>
    <mergeCell ref="D65:D68"/>
    <mergeCell ref="E65:E68"/>
    <mergeCell ref="F65:F68"/>
    <mergeCell ref="G65:G68"/>
    <mergeCell ref="H65:H68"/>
    <mergeCell ref="D59:H59"/>
    <mergeCell ref="D60:H60"/>
    <mergeCell ref="D61:H61"/>
    <mergeCell ref="B64:K64"/>
    <mergeCell ref="E55:H55"/>
    <mergeCell ref="D56:H56"/>
    <mergeCell ref="D57:H57"/>
    <mergeCell ref="D58:H58"/>
    <mergeCell ref="C50:H50"/>
    <mergeCell ref="D51:H51"/>
    <mergeCell ref="D52:H52"/>
    <mergeCell ref="E53:H53"/>
    <mergeCell ref="E54:H54"/>
    <mergeCell ref="K46:K49"/>
    <mergeCell ref="M45:M49"/>
    <mergeCell ref="O45:O49"/>
    <mergeCell ref="Q45:Q49"/>
    <mergeCell ref="G46:G49"/>
    <mergeCell ref="H46:H49"/>
    <mergeCell ref="I46:I49"/>
    <mergeCell ref="D34:H34"/>
    <mergeCell ref="B44:Q44"/>
    <mergeCell ref="B46:B49"/>
    <mergeCell ref="C46:C49"/>
    <mergeCell ref="D46:D49"/>
    <mergeCell ref="E46:E49"/>
    <mergeCell ref="F46:F49"/>
    <mergeCell ref="M27:M31"/>
    <mergeCell ref="O27:O31"/>
    <mergeCell ref="Q27:Q31"/>
    <mergeCell ref="I28:I31"/>
    <mergeCell ref="K28:K31"/>
    <mergeCell ref="B26:Q26"/>
    <mergeCell ref="B28:B31"/>
    <mergeCell ref="C28:C31"/>
    <mergeCell ref="D28:D31"/>
    <mergeCell ref="E28:E31"/>
    <mergeCell ref="F28:F31"/>
    <mergeCell ref="G28:G31"/>
    <mergeCell ref="H28:H31"/>
    <mergeCell ref="D22:H22"/>
    <mergeCell ref="D23:H23"/>
    <mergeCell ref="D24:H24"/>
    <mergeCell ref="B45:K45"/>
    <mergeCell ref="E14:H14"/>
    <mergeCell ref="E15:H15"/>
    <mergeCell ref="E16:H16"/>
    <mergeCell ref="D17:H17"/>
    <mergeCell ref="D18:H18"/>
    <mergeCell ref="C32:H32"/>
    <mergeCell ref="D33:H33"/>
    <mergeCell ref="C10:H10"/>
    <mergeCell ref="D11:H11"/>
    <mergeCell ref="E12:H12"/>
    <mergeCell ref="E13:H13"/>
    <mergeCell ref="Q5:Q9"/>
    <mergeCell ref="K6:K9"/>
    <mergeCell ref="B6:B9"/>
    <mergeCell ref="C6:C9"/>
    <mergeCell ref="D6:D9"/>
    <mergeCell ref="E6:E9"/>
    <mergeCell ref="F6:F9"/>
    <mergeCell ref="G6:G9"/>
    <mergeCell ref="H6:H9"/>
    <mergeCell ref="I6:I9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workbookViewId="0"/>
  </sheetViews>
  <sheetFormatPr defaultRowHeight="15" x14ac:dyDescent="0.25"/>
  <cols>
    <col min="1" max="1" width="1.85546875" customWidth="1"/>
    <col min="2" max="2" width="3.7109375" customWidth="1"/>
    <col min="3" max="3" width="56.7109375" customWidth="1"/>
    <col min="4" max="4" width="10.28515625" style="11" customWidth="1"/>
    <col min="5" max="5" width="10.5703125" style="11" customWidth="1"/>
    <col min="6" max="6" width="9.85546875" style="11" customWidth="1"/>
    <col min="7" max="7" width="10.5703125" style="11" customWidth="1"/>
    <col min="8" max="8" width="9.7109375" style="11" customWidth="1"/>
    <col min="9" max="10" width="10.42578125" style="11" customWidth="1"/>
    <col min="11" max="11" width="9.7109375" style="11" customWidth="1"/>
    <col min="12" max="12" width="10.28515625" style="11" customWidth="1"/>
    <col min="257" max="257" width="1.85546875" customWidth="1"/>
    <col min="258" max="258" width="3.7109375" customWidth="1"/>
    <col min="259" max="259" width="67.7109375" customWidth="1"/>
    <col min="260" max="260" width="10.140625" customWidth="1"/>
    <col min="261" max="261" width="9.85546875" customWidth="1"/>
    <col min="262" max="263" width="10.5703125" customWidth="1"/>
    <col min="264" max="264" width="9.85546875" customWidth="1"/>
    <col min="265" max="265" width="10.42578125" customWidth="1"/>
    <col min="266" max="266" width="10.7109375" customWidth="1"/>
    <col min="267" max="267" width="9.7109375" customWidth="1"/>
    <col min="268" max="268" width="10.140625" customWidth="1"/>
    <col min="513" max="513" width="1.85546875" customWidth="1"/>
    <col min="514" max="514" width="3.7109375" customWidth="1"/>
    <col min="515" max="515" width="67.7109375" customWidth="1"/>
    <col min="516" max="516" width="10.140625" customWidth="1"/>
    <col min="517" max="517" width="9.85546875" customWidth="1"/>
    <col min="518" max="519" width="10.5703125" customWidth="1"/>
    <col min="520" max="520" width="9.85546875" customWidth="1"/>
    <col min="521" max="521" width="10.42578125" customWidth="1"/>
    <col min="522" max="522" width="10.7109375" customWidth="1"/>
    <col min="523" max="523" width="9.7109375" customWidth="1"/>
    <col min="524" max="524" width="10.140625" customWidth="1"/>
    <col min="769" max="769" width="1.85546875" customWidth="1"/>
    <col min="770" max="770" width="3.7109375" customWidth="1"/>
    <col min="771" max="771" width="67.7109375" customWidth="1"/>
    <col min="772" max="772" width="10.140625" customWidth="1"/>
    <col min="773" max="773" width="9.85546875" customWidth="1"/>
    <col min="774" max="775" width="10.5703125" customWidth="1"/>
    <col min="776" max="776" width="9.85546875" customWidth="1"/>
    <col min="777" max="777" width="10.42578125" customWidth="1"/>
    <col min="778" max="778" width="10.7109375" customWidth="1"/>
    <col min="779" max="779" width="9.7109375" customWidth="1"/>
    <col min="780" max="780" width="10.140625" customWidth="1"/>
    <col min="1025" max="1025" width="1.85546875" customWidth="1"/>
    <col min="1026" max="1026" width="3.7109375" customWidth="1"/>
    <col min="1027" max="1027" width="67.7109375" customWidth="1"/>
    <col min="1028" max="1028" width="10.140625" customWidth="1"/>
    <col min="1029" max="1029" width="9.85546875" customWidth="1"/>
    <col min="1030" max="1031" width="10.5703125" customWidth="1"/>
    <col min="1032" max="1032" width="9.85546875" customWidth="1"/>
    <col min="1033" max="1033" width="10.42578125" customWidth="1"/>
    <col min="1034" max="1034" width="10.7109375" customWidth="1"/>
    <col min="1035" max="1035" width="9.7109375" customWidth="1"/>
    <col min="1036" max="1036" width="10.140625" customWidth="1"/>
    <col min="1281" max="1281" width="1.85546875" customWidth="1"/>
    <col min="1282" max="1282" width="3.7109375" customWidth="1"/>
    <col min="1283" max="1283" width="67.7109375" customWidth="1"/>
    <col min="1284" max="1284" width="10.140625" customWidth="1"/>
    <col min="1285" max="1285" width="9.85546875" customWidth="1"/>
    <col min="1286" max="1287" width="10.5703125" customWidth="1"/>
    <col min="1288" max="1288" width="9.85546875" customWidth="1"/>
    <col min="1289" max="1289" width="10.42578125" customWidth="1"/>
    <col min="1290" max="1290" width="10.7109375" customWidth="1"/>
    <col min="1291" max="1291" width="9.7109375" customWidth="1"/>
    <col min="1292" max="1292" width="10.140625" customWidth="1"/>
    <col min="1537" max="1537" width="1.85546875" customWidth="1"/>
    <col min="1538" max="1538" width="3.7109375" customWidth="1"/>
    <col min="1539" max="1539" width="67.7109375" customWidth="1"/>
    <col min="1540" max="1540" width="10.140625" customWidth="1"/>
    <col min="1541" max="1541" width="9.85546875" customWidth="1"/>
    <col min="1542" max="1543" width="10.5703125" customWidth="1"/>
    <col min="1544" max="1544" width="9.85546875" customWidth="1"/>
    <col min="1545" max="1545" width="10.42578125" customWidth="1"/>
    <col min="1546" max="1546" width="10.7109375" customWidth="1"/>
    <col min="1547" max="1547" width="9.7109375" customWidth="1"/>
    <col min="1548" max="1548" width="10.140625" customWidth="1"/>
    <col min="1793" max="1793" width="1.85546875" customWidth="1"/>
    <col min="1794" max="1794" width="3.7109375" customWidth="1"/>
    <col min="1795" max="1795" width="67.7109375" customWidth="1"/>
    <col min="1796" max="1796" width="10.140625" customWidth="1"/>
    <col min="1797" max="1797" width="9.85546875" customWidth="1"/>
    <col min="1798" max="1799" width="10.5703125" customWidth="1"/>
    <col min="1800" max="1800" width="9.85546875" customWidth="1"/>
    <col min="1801" max="1801" width="10.42578125" customWidth="1"/>
    <col min="1802" max="1802" width="10.7109375" customWidth="1"/>
    <col min="1803" max="1803" width="9.7109375" customWidth="1"/>
    <col min="1804" max="1804" width="10.140625" customWidth="1"/>
    <col min="2049" max="2049" width="1.85546875" customWidth="1"/>
    <col min="2050" max="2050" width="3.7109375" customWidth="1"/>
    <col min="2051" max="2051" width="67.7109375" customWidth="1"/>
    <col min="2052" max="2052" width="10.140625" customWidth="1"/>
    <col min="2053" max="2053" width="9.85546875" customWidth="1"/>
    <col min="2054" max="2055" width="10.5703125" customWidth="1"/>
    <col min="2056" max="2056" width="9.85546875" customWidth="1"/>
    <col min="2057" max="2057" width="10.42578125" customWidth="1"/>
    <col min="2058" max="2058" width="10.7109375" customWidth="1"/>
    <col min="2059" max="2059" width="9.7109375" customWidth="1"/>
    <col min="2060" max="2060" width="10.140625" customWidth="1"/>
    <col min="2305" max="2305" width="1.85546875" customWidth="1"/>
    <col min="2306" max="2306" width="3.7109375" customWidth="1"/>
    <col min="2307" max="2307" width="67.7109375" customWidth="1"/>
    <col min="2308" max="2308" width="10.140625" customWidth="1"/>
    <col min="2309" max="2309" width="9.85546875" customWidth="1"/>
    <col min="2310" max="2311" width="10.5703125" customWidth="1"/>
    <col min="2312" max="2312" width="9.85546875" customWidth="1"/>
    <col min="2313" max="2313" width="10.42578125" customWidth="1"/>
    <col min="2314" max="2314" width="10.7109375" customWidth="1"/>
    <col min="2315" max="2315" width="9.7109375" customWidth="1"/>
    <col min="2316" max="2316" width="10.140625" customWidth="1"/>
    <col min="2561" max="2561" width="1.85546875" customWidth="1"/>
    <col min="2562" max="2562" width="3.7109375" customWidth="1"/>
    <col min="2563" max="2563" width="67.7109375" customWidth="1"/>
    <col min="2564" max="2564" width="10.140625" customWidth="1"/>
    <col min="2565" max="2565" width="9.85546875" customWidth="1"/>
    <col min="2566" max="2567" width="10.5703125" customWidth="1"/>
    <col min="2568" max="2568" width="9.85546875" customWidth="1"/>
    <col min="2569" max="2569" width="10.42578125" customWidth="1"/>
    <col min="2570" max="2570" width="10.7109375" customWidth="1"/>
    <col min="2571" max="2571" width="9.7109375" customWidth="1"/>
    <col min="2572" max="2572" width="10.140625" customWidth="1"/>
    <col min="2817" max="2817" width="1.85546875" customWidth="1"/>
    <col min="2818" max="2818" width="3.7109375" customWidth="1"/>
    <col min="2819" max="2819" width="67.7109375" customWidth="1"/>
    <col min="2820" max="2820" width="10.140625" customWidth="1"/>
    <col min="2821" max="2821" width="9.85546875" customWidth="1"/>
    <col min="2822" max="2823" width="10.5703125" customWidth="1"/>
    <col min="2824" max="2824" width="9.85546875" customWidth="1"/>
    <col min="2825" max="2825" width="10.42578125" customWidth="1"/>
    <col min="2826" max="2826" width="10.7109375" customWidth="1"/>
    <col min="2827" max="2827" width="9.7109375" customWidth="1"/>
    <col min="2828" max="2828" width="10.140625" customWidth="1"/>
    <col min="3073" max="3073" width="1.85546875" customWidth="1"/>
    <col min="3074" max="3074" width="3.7109375" customWidth="1"/>
    <col min="3075" max="3075" width="67.7109375" customWidth="1"/>
    <col min="3076" max="3076" width="10.140625" customWidth="1"/>
    <col min="3077" max="3077" width="9.85546875" customWidth="1"/>
    <col min="3078" max="3079" width="10.5703125" customWidth="1"/>
    <col min="3080" max="3080" width="9.85546875" customWidth="1"/>
    <col min="3081" max="3081" width="10.42578125" customWidth="1"/>
    <col min="3082" max="3082" width="10.7109375" customWidth="1"/>
    <col min="3083" max="3083" width="9.7109375" customWidth="1"/>
    <col min="3084" max="3084" width="10.140625" customWidth="1"/>
    <col min="3329" max="3329" width="1.85546875" customWidth="1"/>
    <col min="3330" max="3330" width="3.7109375" customWidth="1"/>
    <col min="3331" max="3331" width="67.7109375" customWidth="1"/>
    <col min="3332" max="3332" width="10.140625" customWidth="1"/>
    <col min="3333" max="3333" width="9.85546875" customWidth="1"/>
    <col min="3334" max="3335" width="10.5703125" customWidth="1"/>
    <col min="3336" max="3336" width="9.85546875" customWidth="1"/>
    <col min="3337" max="3337" width="10.42578125" customWidth="1"/>
    <col min="3338" max="3338" width="10.7109375" customWidth="1"/>
    <col min="3339" max="3339" width="9.7109375" customWidth="1"/>
    <col min="3340" max="3340" width="10.140625" customWidth="1"/>
    <col min="3585" max="3585" width="1.85546875" customWidth="1"/>
    <col min="3586" max="3586" width="3.7109375" customWidth="1"/>
    <col min="3587" max="3587" width="67.7109375" customWidth="1"/>
    <col min="3588" max="3588" width="10.140625" customWidth="1"/>
    <col min="3589" max="3589" width="9.85546875" customWidth="1"/>
    <col min="3590" max="3591" width="10.5703125" customWidth="1"/>
    <col min="3592" max="3592" width="9.85546875" customWidth="1"/>
    <col min="3593" max="3593" width="10.42578125" customWidth="1"/>
    <col min="3594" max="3594" width="10.7109375" customWidth="1"/>
    <col min="3595" max="3595" width="9.7109375" customWidth="1"/>
    <col min="3596" max="3596" width="10.140625" customWidth="1"/>
    <col min="3841" max="3841" width="1.85546875" customWidth="1"/>
    <col min="3842" max="3842" width="3.7109375" customWidth="1"/>
    <col min="3843" max="3843" width="67.7109375" customWidth="1"/>
    <col min="3844" max="3844" width="10.140625" customWidth="1"/>
    <col min="3845" max="3845" width="9.85546875" customWidth="1"/>
    <col min="3846" max="3847" width="10.5703125" customWidth="1"/>
    <col min="3848" max="3848" width="9.85546875" customWidth="1"/>
    <col min="3849" max="3849" width="10.42578125" customWidth="1"/>
    <col min="3850" max="3850" width="10.7109375" customWidth="1"/>
    <col min="3851" max="3851" width="9.7109375" customWidth="1"/>
    <col min="3852" max="3852" width="10.140625" customWidth="1"/>
    <col min="4097" max="4097" width="1.85546875" customWidth="1"/>
    <col min="4098" max="4098" width="3.7109375" customWidth="1"/>
    <col min="4099" max="4099" width="67.7109375" customWidth="1"/>
    <col min="4100" max="4100" width="10.140625" customWidth="1"/>
    <col min="4101" max="4101" width="9.85546875" customWidth="1"/>
    <col min="4102" max="4103" width="10.5703125" customWidth="1"/>
    <col min="4104" max="4104" width="9.85546875" customWidth="1"/>
    <col min="4105" max="4105" width="10.42578125" customWidth="1"/>
    <col min="4106" max="4106" width="10.7109375" customWidth="1"/>
    <col min="4107" max="4107" width="9.7109375" customWidth="1"/>
    <col min="4108" max="4108" width="10.140625" customWidth="1"/>
    <col min="4353" max="4353" width="1.85546875" customWidth="1"/>
    <col min="4354" max="4354" width="3.7109375" customWidth="1"/>
    <col min="4355" max="4355" width="67.7109375" customWidth="1"/>
    <col min="4356" max="4356" width="10.140625" customWidth="1"/>
    <col min="4357" max="4357" width="9.85546875" customWidth="1"/>
    <col min="4358" max="4359" width="10.5703125" customWidth="1"/>
    <col min="4360" max="4360" width="9.85546875" customWidth="1"/>
    <col min="4361" max="4361" width="10.42578125" customWidth="1"/>
    <col min="4362" max="4362" width="10.7109375" customWidth="1"/>
    <col min="4363" max="4363" width="9.7109375" customWidth="1"/>
    <col min="4364" max="4364" width="10.140625" customWidth="1"/>
    <col min="4609" max="4609" width="1.85546875" customWidth="1"/>
    <col min="4610" max="4610" width="3.7109375" customWidth="1"/>
    <col min="4611" max="4611" width="67.7109375" customWidth="1"/>
    <col min="4612" max="4612" width="10.140625" customWidth="1"/>
    <col min="4613" max="4613" width="9.85546875" customWidth="1"/>
    <col min="4614" max="4615" width="10.5703125" customWidth="1"/>
    <col min="4616" max="4616" width="9.85546875" customWidth="1"/>
    <col min="4617" max="4617" width="10.42578125" customWidth="1"/>
    <col min="4618" max="4618" width="10.7109375" customWidth="1"/>
    <col min="4619" max="4619" width="9.7109375" customWidth="1"/>
    <col min="4620" max="4620" width="10.140625" customWidth="1"/>
    <col min="4865" max="4865" width="1.85546875" customWidth="1"/>
    <col min="4866" max="4866" width="3.7109375" customWidth="1"/>
    <col min="4867" max="4867" width="67.7109375" customWidth="1"/>
    <col min="4868" max="4868" width="10.140625" customWidth="1"/>
    <col min="4869" max="4869" width="9.85546875" customWidth="1"/>
    <col min="4870" max="4871" width="10.5703125" customWidth="1"/>
    <col min="4872" max="4872" width="9.85546875" customWidth="1"/>
    <col min="4873" max="4873" width="10.42578125" customWidth="1"/>
    <col min="4874" max="4874" width="10.7109375" customWidth="1"/>
    <col min="4875" max="4875" width="9.7109375" customWidth="1"/>
    <col min="4876" max="4876" width="10.140625" customWidth="1"/>
    <col min="5121" max="5121" width="1.85546875" customWidth="1"/>
    <col min="5122" max="5122" width="3.7109375" customWidth="1"/>
    <col min="5123" max="5123" width="67.7109375" customWidth="1"/>
    <col min="5124" max="5124" width="10.140625" customWidth="1"/>
    <col min="5125" max="5125" width="9.85546875" customWidth="1"/>
    <col min="5126" max="5127" width="10.5703125" customWidth="1"/>
    <col min="5128" max="5128" width="9.85546875" customWidth="1"/>
    <col min="5129" max="5129" width="10.42578125" customWidth="1"/>
    <col min="5130" max="5130" width="10.7109375" customWidth="1"/>
    <col min="5131" max="5131" width="9.7109375" customWidth="1"/>
    <col min="5132" max="5132" width="10.140625" customWidth="1"/>
    <col min="5377" max="5377" width="1.85546875" customWidth="1"/>
    <col min="5378" max="5378" width="3.7109375" customWidth="1"/>
    <col min="5379" max="5379" width="67.7109375" customWidth="1"/>
    <col min="5380" max="5380" width="10.140625" customWidth="1"/>
    <col min="5381" max="5381" width="9.85546875" customWidth="1"/>
    <col min="5382" max="5383" width="10.5703125" customWidth="1"/>
    <col min="5384" max="5384" width="9.85546875" customWidth="1"/>
    <col min="5385" max="5385" width="10.42578125" customWidth="1"/>
    <col min="5386" max="5386" width="10.7109375" customWidth="1"/>
    <col min="5387" max="5387" width="9.7109375" customWidth="1"/>
    <col min="5388" max="5388" width="10.140625" customWidth="1"/>
    <col min="5633" max="5633" width="1.85546875" customWidth="1"/>
    <col min="5634" max="5634" width="3.7109375" customWidth="1"/>
    <col min="5635" max="5635" width="67.7109375" customWidth="1"/>
    <col min="5636" max="5636" width="10.140625" customWidth="1"/>
    <col min="5637" max="5637" width="9.85546875" customWidth="1"/>
    <col min="5638" max="5639" width="10.5703125" customWidth="1"/>
    <col min="5640" max="5640" width="9.85546875" customWidth="1"/>
    <col min="5641" max="5641" width="10.42578125" customWidth="1"/>
    <col min="5642" max="5642" width="10.7109375" customWidth="1"/>
    <col min="5643" max="5643" width="9.7109375" customWidth="1"/>
    <col min="5644" max="5644" width="10.140625" customWidth="1"/>
    <col min="5889" max="5889" width="1.85546875" customWidth="1"/>
    <col min="5890" max="5890" width="3.7109375" customWidth="1"/>
    <col min="5891" max="5891" width="67.7109375" customWidth="1"/>
    <col min="5892" max="5892" width="10.140625" customWidth="1"/>
    <col min="5893" max="5893" width="9.85546875" customWidth="1"/>
    <col min="5894" max="5895" width="10.5703125" customWidth="1"/>
    <col min="5896" max="5896" width="9.85546875" customWidth="1"/>
    <col min="5897" max="5897" width="10.42578125" customWidth="1"/>
    <col min="5898" max="5898" width="10.7109375" customWidth="1"/>
    <col min="5899" max="5899" width="9.7109375" customWidth="1"/>
    <col min="5900" max="5900" width="10.140625" customWidth="1"/>
    <col min="6145" max="6145" width="1.85546875" customWidth="1"/>
    <col min="6146" max="6146" width="3.7109375" customWidth="1"/>
    <col min="6147" max="6147" width="67.7109375" customWidth="1"/>
    <col min="6148" max="6148" width="10.140625" customWidth="1"/>
    <col min="6149" max="6149" width="9.85546875" customWidth="1"/>
    <col min="6150" max="6151" width="10.5703125" customWidth="1"/>
    <col min="6152" max="6152" width="9.85546875" customWidth="1"/>
    <col min="6153" max="6153" width="10.42578125" customWidth="1"/>
    <col min="6154" max="6154" width="10.7109375" customWidth="1"/>
    <col min="6155" max="6155" width="9.7109375" customWidth="1"/>
    <col min="6156" max="6156" width="10.140625" customWidth="1"/>
    <col min="6401" max="6401" width="1.85546875" customWidth="1"/>
    <col min="6402" max="6402" width="3.7109375" customWidth="1"/>
    <col min="6403" max="6403" width="67.7109375" customWidth="1"/>
    <col min="6404" max="6404" width="10.140625" customWidth="1"/>
    <col min="6405" max="6405" width="9.85546875" customWidth="1"/>
    <col min="6406" max="6407" width="10.5703125" customWidth="1"/>
    <col min="6408" max="6408" width="9.85546875" customWidth="1"/>
    <col min="6409" max="6409" width="10.42578125" customWidth="1"/>
    <col min="6410" max="6410" width="10.7109375" customWidth="1"/>
    <col min="6411" max="6411" width="9.7109375" customWidth="1"/>
    <col min="6412" max="6412" width="10.140625" customWidth="1"/>
    <col min="6657" max="6657" width="1.85546875" customWidth="1"/>
    <col min="6658" max="6658" width="3.7109375" customWidth="1"/>
    <col min="6659" max="6659" width="67.7109375" customWidth="1"/>
    <col min="6660" max="6660" width="10.140625" customWidth="1"/>
    <col min="6661" max="6661" width="9.85546875" customWidth="1"/>
    <col min="6662" max="6663" width="10.5703125" customWidth="1"/>
    <col min="6664" max="6664" width="9.85546875" customWidth="1"/>
    <col min="6665" max="6665" width="10.42578125" customWidth="1"/>
    <col min="6666" max="6666" width="10.7109375" customWidth="1"/>
    <col min="6667" max="6667" width="9.7109375" customWidth="1"/>
    <col min="6668" max="6668" width="10.140625" customWidth="1"/>
    <col min="6913" max="6913" width="1.85546875" customWidth="1"/>
    <col min="6914" max="6914" width="3.7109375" customWidth="1"/>
    <col min="6915" max="6915" width="67.7109375" customWidth="1"/>
    <col min="6916" max="6916" width="10.140625" customWidth="1"/>
    <col min="6917" max="6917" width="9.85546875" customWidth="1"/>
    <col min="6918" max="6919" width="10.5703125" customWidth="1"/>
    <col min="6920" max="6920" width="9.85546875" customWidth="1"/>
    <col min="6921" max="6921" width="10.42578125" customWidth="1"/>
    <col min="6922" max="6922" width="10.7109375" customWidth="1"/>
    <col min="6923" max="6923" width="9.7109375" customWidth="1"/>
    <col min="6924" max="6924" width="10.140625" customWidth="1"/>
    <col min="7169" max="7169" width="1.85546875" customWidth="1"/>
    <col min="7170" max="7170" width="3.7109375" customWidth="1"/>
    <col min="7171" max="7171" width="67.7109375" customWidth="1"/>
    <col min="7172" max="7172" width="10.140625" customWidth="1"/>
    <col min="7173" max="7173" width="9.85546875" customWidth="1"/>
    <col min="7174" max="7175" width="10.5703125" customWidth="1"/>
    <col min="7176" max="7176" width="9.85546875" customWidth="1"/>
    <col min="7177" max="7177" width="10.42578125" customWidth="1"/>
    <col min="7178" max="7178" width="10.7109375" customWidth="1"/>
    <col min="7179" max="7179" width="9.7109375" customWidth="1"/>
    <col min="7180" max="7180" width="10.140625" customWidth="1"/>
    <col min="7425" max="7425" width="1.85546875" customWidth="1"/>
    <col min="7426" max="7426" width="3.7109375" customWidth="1"/>
    <col min="7427" max="7427" width="67.7109375" customWidth="1"/>
    <col min="7428" max="7428" width="10.140625" customWidth="1"/>
    <col min="7429" max="7429" width="9.85546875" customWidth="1"/>
    <col min="7430" max="7431" width="10.5703125" customWidth="1"/>
    <col min="7432" max="7432" width="9.85546875" customWidth="1"/>
    <col min="7433" max="7433" width="10.42578125" customWidth="1"/>
    <col min="7434" max="7434" width="10.7109375" customWidth="1"/>
    <col min="7435" max="7435" width="9.7109375" customWidth="1"/>
    <col min="7436" max="7436" width="10.140625" customWidth="1"/>
    <col min="7681" max="7681" width="1.85546875" customWidth="1"/>
    <col min="7682" max="7682" width="3.7109375" customWidth="1"/>
    <col min="7683" max="7683" width="67.7109375" customWidth="1"/>
    <col min="7684" max="7684" width="10.140625" customWidth="1"/>
    <col min="7685" max="7685" width="9.85546875" customWidth="1"/>
    <col min="7686" max="7687" width="10.5703125" customWidth="1"/>
    <col min="7688" max="7688" width="9.85546875" customWidth="1"/>
    <col min="7689" max="7689" width="10.42578125" customWidth="1"/>
    <col min="7690" max="7690" width="10.7109375" customWidth="1"/>
    <col min="7691" max="7691" width="9.7109375" customWidth="1"/>
    <col min="7692" max="7692" width="10.140625" customWidth="1"/>
    <col min="7937" max="7937" width="1.85546875" customWidth="1"/>
    <col min="7938" max="7938" width="3.7109375" customWidth="1"/>
    <col min="7939" max="7939" width="67.7109375" customWidth="1"/>
    <col min="7940" max="7940" width="10.140625" customWidth="1"/>
    <col min="7941" max="7941" width="9.85546875" customWidth="1"/>
    <col min="7942" max="7943" width="10.5703125" customWidth="1"/>
    <col min="7944" max="7944" width="9.85546875" customWidth="1"/>
    <col min="7945" max="7945" width="10.42578125" customWidth="1"/>
    <col min="7946" max="7946" width="10.7109375" customWidth="1"/>
    <col min="7947" max="7947" width="9.7109375" customWidth="1"/>
    <col min="7948" max="7948" width="10.140625" customWidth="1"/>
    <col min="8193" max="8193" width="1.85546875" customWidth="1"/>
    <col min="8194" max="8194" width="3.7109375" customWidth="1"/>
    <col min="8195" max="8195" width="67.7109375" customWidth="1"/>
    <col min="8196" max="8196" width="10.140625" customWidth="1"/>
    <col min="8197" max="8197" width="9.85546875" customWidth="1"/>
    <col min="8198" max="8199" width="10.5703125" customWidth="1"/>
    <col min="8200" max="8200" width="9.85546875" customWidth="1"/>
    <col min="8201" max="8201" width="10.42578125" customWidth="1"/>
    <col min="8202" max="8202" width="10.7109375" customWidth="1"/>
    <col min="8203" max="8203" width="9.7109375" customWidth="1"/>
    <col min="8204" max="8204" width="10.140625" customWidth="1"/>
    <col min="8449" max="8449" width="1.85546875" customWidth="1"/>
    <col min="8450" max="8450" width="3.7109375" customWidth="1"/>
    <col min="8451" max="8451" width="67.7109375" customWidth="1"/>
    <col min="8452" max="8452" width="10.140625" customWidth="1"/>
    <col min="8453" max="8453" width="9.85546875" customWidth="1"/>
    <col min="8454" max="8455" width="10.5703125" customWidth="1"/>
    <col min="8456" max="8456" width="9.85546875" customWidth="1"/>
    <col min="8457" max="8457" width="10.42578125" customWidth="1"/>
    <col min="8458" max="8458" width="10.7109375" customWidth="1"/>
    <col min="8459" max="8459" width="9.7109375" customWidth="1"/>
    <col min="8460" max="8460" width="10.140625" customWidth="1"/>
    <col min="8705" max="8705" width="1.85546875" customWidth="1"/>
    <col min="8706" max="8706" width="3.7109375" customWidth="1"/>
    <col min="8707" max="8707" width="67.7109375" customWidth="1"/>
    <col min="8708" max="8708" width="10.140625" customWidth="1"/>
    <col min="8709" max="8709" width="9.85546875" customWidth="1"/>
    <col min="8710" max="8711" width="10.5703125" customWidth="1"/>
    <col min="8712" max="8712" width="9.85546875" customWidth="1"/>
    <col min="8713" max="8713" width="10.42578125" customWidth="1"/>
    <col min="8714" max="8714" width="10.7109375" customWidth="1"/>
    <col min="8715" max="8715" width="9.7109375" customWidth="1"/>
    <col min="8716" max="8716" width="10.140625" customWidth="1"/>
    <col min="8961" max="8961" width="1.85546875" customWidth="1"/>
    <col min="8962" max="8962" width="3.7109375" customWidth="1"/>
    <col min="8963" max="8963" width="67.7109375" customWidth="1"/>
    <col min="8964" max="8964" width="10.140625" customWidth="1"/>
    <col min="8965" max="8965" width="9.85546875" customWidth="1"/>
    <col min="8966" max="8967" width="10.5703125" customWidth="1"/>
    <col min="8968" max="8968" width="9.85546875" customWidth="1"/>
    <col min="8969" max="8969" width="10.42578125" customWidth="1"/>
    <col min="8970" max="8970" width="10.7109375" customWidth="1"/>
    <col min="8971" max="8971" width="9.7109375" customWidth="1"/>
    <col min="8972" max="8972" width="10.140625" customWidth="1"/>
    <col min="9217" max="9217" width="1.85546875" customWidth="1"/>
    <col min="9218" max="9218" width="3.7109375" customWidth="1"/>
    <col min="9219" max="9219" width="67.7109375" customWidth="1"/>
    <col min="9220" max="9220" width="10.140625" customWidth="1"/>
    <col min="9221" max="9221" width="9.85546875" customWidth="1"/>
    <col min="9222" max="9223" width="10.5703125" customWidth="1"/>
    <col min="9224" max="9224" width="9.85546875" customWidth="1"/>
    <col min="9225" max="9225" width="10.42578125" customWidth="1"/>
    <col min="9226" max="9226" width="10.7109375" customWidth="1"/>
    <col min="9227" max="9227" width="9.7109375" customWidth="1"/>
    <col min="9228" max="9228" width="10.140625" customWidth="1"/>
    <col min="9473" max="9473" width="1.85546875" customWidth="1"/>
    <col min="9474" max="9474" width="3.7109375" customWidth="1"/>
    <col min="9475" max="9475" width="67.7109375" customWidth="1"/>
    <col min="9476" max="9476" width="10.140625" customWidth="1"/>
    <col min="9477" max="9477" width="9.85546875" customWidth="1"/>
    <col min="9478" max="9479" width="10.5703125" customWidth="1"/>
    <col min="9480" max="9480" width="9.85546875" customWidth="1"/>
    <col min="9481" max="9481" width="10.42578125" customWidth="1"/>
    <col min="9482" max="9482" width="10.7109375" customWidth="1"/>
    <col min="9483" max="9483" width="9.7109375" customWidth="1"/>
    <col min="9484" max="9484" width="10.140625" customWidth="1"/>
    <col min="9729" max="9729" width="1.85546875" customWidth="1"/>
    <col min="9730" max="9730" width="3.7109375" customWidth="1"/>
    <col min="9731" max="9731" width="67.7109375" customWidth="1"/>
    <col min="9732" max="9732" width="10.140625" customWidth="1"/>
    <col min="9733" max="9733" width="9.85546875" customWidth="1"/>
    <col min="9734" max="9735" width="10.5703125" customWidth="1"/>
    <col min="9736" max="9736" width="9.85546875" customWidth="1"/>
    <col min="9737" max="9737" width="10.42578125" customWidth="1"/>
    <col min="9738" max="9738" width="10.7109375" customWidth="1"/>
    <col min="9739" max="9739" width="9.7109375" customWidth="1"/>
    <col min="9740" max="9740" width="10.140625" customWidth="1"/>
    <col min="9985" max="9985" width="1.85546875" customWidth="1"/>
    <col min="9986" max="9986" width="3.7109375" customWidth="1"/>
    <col min="9987" max="9987" width="67.7109375" customWidth="1"/>
    <col min="9988" max="9988" width="10.140625" customWidth="1"/>
    <col min="9989" max="9989" width="9.85546875" customWidth="1"/>
    <col min="9990" max="9991" width="10.5703125" customWidth="1"/>
    <col min="9992" max="9992" width="9.85546875" customWidth="1"/>
    <col min="9993" max="9993" width="10.42578125" customWidth="1"/>
    <col min="9994" max="9994" width="10.7109375" customWidth="1"/>
    <col min="9995" max="9995" width="9.7109375" customWidth="1"/>
    <col min="9996" max="9996" width="10.140625" customWidth="1"/>
    <col min="10241" max="10241" width="1.85546875" customWidth="1"/>
    <col min="10242" max="10242" width="3.7109375" customWidth="1"/>
    <col min="10243" max="10243" width="67.7109375" customWidth="1"/>
    <col min="10244" max="10244" width="10.140625" customWidth="1"/>
    <col min="10245" max="10245" width="9.85546875" customWidth="1"/>
    <col min="10246" max="10247" width="10.5703125" customWidth="1"/>
    <col min="10248" max="10248" width="9.85546875" customWidth="1"/>
    <col min="10249" max="10249" width="10.42578125" customWidth="1"/>
    <col min="10250" max="10250" width="10.7109375" customWidth="1"/>
    <col min="10251" max="10251" width="9.7109375" customWidth="1"/>
    <col min="10252" max="10252" width="10.140625" customWidth="1"/>
    <col min="10497" max="10497" width="1.85546875" customWidth="1"/>
    <col min="10498" max="10498" width="3.7109375" customWidth="1"/>
    <col min="10499" max="10499" width="67.7109375" customWidth="1"/>
    <col min="10500" max="10500" width="10.140625" customWidth="1"/>
    <col min="10501" max="10501" width="9.85546875" customWidth="1"/>
    <col min="10502" max="10503" width="10.5703125" customWidth="1"/>
    <col min="10504" max="10504" width="9.85546875" customWidth="1"/>
    <col min="10505" max="10505" width="10.42578125" customWidth="1"/>
    <col min="10506" max="10506" width="10.7109375" customWidth="1"/>
    <col min="10507" max="10507" width="9.7109375" customWidth="1"/>
    <col min="10508" max="10508" width="10.140625" customWidth="1"/>
    <col min="10753" max="10753" width="1.85546875" customWidth="1"/>
    <col min="10754" max="10754" width="3.7109375" customWidth="1"/>
    <col min="10755" max="10755" width="67.7109375" customWidth="1"/>
    <col min="10756" max="10756" width="10.140625" customWidth="1"/>
    <col min="10757" max="10757" width="9.85546875" customWidth="1"/>
    <col min="10758" max="10759" width="10.5703125" customWidth="1"/>
    <col min="10760" max="10760" width="9.85546875" customWidth="1"/>
    <col min="10761" max="10761" width="10.42578125" customWidth="1"/>
    <col min="10762" max="10762" width="10.7109375" customWidth="1"/>
    <col min="10763" max="10763" width="9.7109375" customWidth="1"/>
    <col min="10764" max="10764" width="10.140625" customWidth="1"/>
    <col min="11009" max="11009" width="1.85546875" customWidth="1"/>
    <col min="11010" max="11010" width="3.7109375" customWidth="1"/>
    <col min="11011" max="11011" width="67.7109375" customWidth="1"/>
    <col min="11012" max="11012" width="10.140625" customWidth="1"/>
    <col min="11013" max="11013" width="9.85546875" customWidth="1"/>
    <col min="11014" max="11015" width="10.5703125" customWidth="1"/>
    <col min="11016" max="11016" width="9.85546875" customWidth="1"/>
    <col min="11017" max="11017" width="10.42578125" customWidth="1"/>
    <col min="11018" max="11018" width="10.7109375" customWidth="1"/>
    <col min="11019" max="11019" width="9.7109375" customWidth="1"/>
    <col min="11020" max="11020" width="10.140625" customWidth="1"/>
    <col min="11265" max="11265" width="1.85546875" customWidth="1"/>
    <col min="11266" max="11266" width="3.7109375" customWidth="1"/>
    <col min="11267" max="11267" width="67.7109375" customWidth="1"/>
    <col min="11268" max="11268" width="10.140625" customWidth="1"/>
    <col min="11269" max="11269" width="9.85546875" customWidth="1"/>
    <col min="11270" max="11271" width="10.5703125" customWidth="1"/>
    <col min="11272" max="11272" width="9.85546875" customWidth="1"/>
    <col min="11273" max="11273" width="10.42578125" customWidth="1"/>
    <col min="11274" max="11274" width="10.7109375" customWidth="1"/>
    <col min="11275" max="11275" width="9.7109375" customWidth="1"/>
    <col min="11276" max="11276" width="10.140625" customWidth="1"/>
    <col min="11521" max="11521" width="1.85546875" customWidth="1"/>
    <col min="11522" max="11522" width="3.7109375" customWidth="1"/>
    <col min="11523" max="11523" width="67.7109375" customWidth="1"/>
    <col min="11524" max="11524" width="10.140625" customWidth="1"/>
    <col min="11525" max="11525" width="9.85546875" customWidth="1"/>
    <col min="11526" max="11527" width="10.5703125" customWidth="1"/>
    <col min="11528" max="11528" width="9.85546875" customWidth="1"/>
    <col min="11529" max="11529" width="10.42578125" customWidth="1"/>
    <col min="11530" max="11530" width="10.7109375" customWidth="1"/>
    <col min="11531" max="11531" width="9.7109375" customWidth="1"/>
    <col min="11532" max="11532" width="10.140625" customWidth="1"/>
    <col min="11777" max="11777" width="1.85546875" customWidth="1"/>
    <col min="11778" max="11778" width="3.7109375" customWidth="1"/>
    <col min="11779" max="11779" width="67.7109375" customWidth="1"/>
    <col min="11780" max="11780" width="10.140625" customWidth="1"/>
    <col min="11781" max="11781" width="9.85546875" customWidth="1"/>
    <col min="11782" max="11783" width="10.5703125" customWidth="1"/>
    <col min="11784" max="11784" width="9.85546875" customWidth="1"/>
    <col min="11785" max="11785" width="10.42578125" customWidth="1"/>
    <col min="11786" max="11786" width="10.7109375" customWidth="1"/>
    <col min="11787" max="11787" width="9.7109375" customWidth="1"/>
    <col min="11788" max="11788" width="10.140625" customWidth="1"/>
    <col min="12033" max="12033" width="1.85546875" customWidth="1"/>
    <col min="12034" max="12034" width="3.7109375" customWidth="1"/>
    <col min="12035" max="12035" width="67.7109375" customWidth="1"/>
    <col min="12036" max="12036" width="10.140625" customWidth="1"/>
    <col min="12037" max="12037" width="9.85546875" customWidth="1"/>
    <col min="12038" max="12039" width="10.5703125" customWidth="1"/>
    <col min="12040" max="12040" width="9.85546875" customWidth="1"/>
    <col min="12041" max="12041" width="10.42578125" customWidth="1"/>
    <col min="12042" max="12042" width="10.7109375" customWidth="1"/>
    <col min="12043" max="12043" width="9.7109375" customWidth="1"/>
    <col min="12044" max="12044" width="10.140625" customWidth="1"/>
    <col min="12289" max="12289" width="1.85546875" customWidth="1"/>
    <col min="12290" max="12290" width="3.7109375" customWidth="1"/>
    <col min="12291" max="12291" width="67.7109375" customWidth="1"/>
    <col min="12292" max="12292" width="10.140625" customWidth="1"/>
    <col min="12293" max="12293" width="9.85546875" customWidth="1"/>
    <col min="12294" max="12295" width="10.5703125" customWidth="1"/>
    <col min="12296" max="12296" width="9.85546875" customWidth="1"/>
    <col min="12297" max="12297" width="10.42578125" customWidth="1"/>
    <col min="12298" max="12298" width="10.7109375" customWidth="1"/>
    <col min="12299" max="12299" width="9.7109375" customWidth="1"/>
    <col min="12300" max="12300" width="10.140625" customWidth="1"/>
    <col min="12545" max="12545" width="1.85546875" customWidth="1"/>
    <col min="12546" max="12546" width="3.7109375" customWidth="1"/>
    <col min="12547" max="12547" width="67.7109375" customWidth="1"/>
    <col min="12548" max="12548" width="10.140625" customWidth="1"/>
    <col min="12549" max="12549" width="9.85546875" customWidth="1"/>
    <col min="12550" max="12551" width="10.5703125" customWidth="1"/>
    <col min="12552" max="12552" width="9.85546875" customWidth="1"/>
    <col min="12553" max="12553" width="10.42578125" customWidth="1"/>
    <col min="12554" max="12554" width="10.7109375" customWidth="1"/>
    <col min="12555" max="12555" width="9.7109375" customWidth="1"/>
    <col min="12556" max="12556" width="10.140625" customWidth="1"/>
    <col min="12801" max="12801" width="1.85546875" customWidth="1"/>
    <col min="12802" max="12802" width="3.7109375" customWidth="1"/>
    <col min="12803" max="12803" width="67.7109375" customWidth="1"/>
    <col min="12804" max="12804" width="10.140625" customWidth="1"/>
    <col min="12805" max="12805" width="9.85546875" customWidth="1"/>
    <col min="12806" max="12807" width="10.5703125" customWidth="1"/>
    <col min="12808" max="12808" width="9.85546875" customWidth="1"/>
    <col min="12809" max="12809" width="10.42578125" customWidth="1"/>
    <col min="12810" max="12810" width="10.7109375" customWidth="1"/>
    <col min="12811" max="12811" width="9.7109375" customWidth="1"/>
    <col min="12812" max="12812" width="10.140625" customWidth="1"/>
    <col min="13057" max="13057" width="1.85546875" customWidth="1"/>
    <col min="13058" max="13058" width="3.7109375" customWidth="1"/>
    <col min="13059" max="13059" width="67.7109375" customWidth="1"/>
    <col min="13060" max="13060" width="10.140625" customWidth="1"/>
    <col min="13061" max="13061" width="9.85546875" customWidth="1"/>
    <col min="13062" max="13063" width="10.5703125" customWidth="1"/>
    <col min="13064" max="13064" width="9.85546875" customWidth="1"/>
    <col min="13065" max="13065" width="10.42578125" customWidth="1"/>
    <col min="13066" max="13066" width="10.7109375" customWidth="1"/>
    <col min="13067" max="13067" width="9.7109375" customWidth="1"/>
    <col min="13068" max="13068" width="10.140625" customWidth="1"/>
    <col min="13313" max="13313" width="1.85546875" customWidth="1"/>
    <col min="13314" max="13314" width="3.7109375" customWidth="1"/>
    <col min="13315" max="13315" width="67.7109375" customWidth="1"/>
    <col min="13316" max="13316" width="10.140625" customWidth="1"/>
    <col min="13317" max="13317" width="9.85546875" customWidth="1"/>
    <col min="13318" max="13319" width="10.5703125" customWidth="1"/>
    <col min="13320" max="13320" width="9.85546875" customWidth="1"/>
    <col min="13321" max="13321" width="10.42578125" customWidth="1"/>
    <col min="13322" max="13322" width="10.7109375" customWidth="1"/>
    <col min="13323" max="13323" width="9.7109375" customWidth="1"/>
    <col min="13324" max="13324" width="10.140625" customWidth="1"/>
    <col min="13569" max="13569" width="1.85546875" customWidth="1"/>
    <col min="13570" max="13570" width="3.7109375" customWidth="1"/>
    <col min="13571" max="13571" width="67.7109375" customWidth="1"/>
    <col min="13572" max="13572" width="10.140625" customWidth="1"/>
    <col min="13573" max="13573" width="9.85546875" customWidth="1"/>
    <col min="13574" max="13575" width="10.5703125" customWidth="1"/>
    <col min="13576" max="13576" width="9.85546875" customWidth="1"/>
    <col min="13577" max="13577" width="10.42578125" customWidth="1"/>
    <col min="13578" max="13578" width="10.7109375" customWidth="1"/>
    <col min="13579" max="13579" width="9.7109375" customWidth="1"/>
    <col min="13580" max="13580" width="10.140625" customWidth="1"/>
    <col min="13825" max="13825" width="1.85546875" customWidth="1"/>
    <col min="13826" max="13826" width="3.7109375" customWidth="1"/>
    <col min="13827" max="13827" width="67.7109375" customWidth="1"/>
    <col min="13828" max="13828" width="10.140625" customWidth="1"/>
    <col min="13829" max="13829" width="9.85546875" customWidth="1"/>
    <col min="13830" max="13831" width="10.5703125" customWidth="1"/>
    <col min="13832" max="13832" width="9.85546875" customWidth="1"/>
    <col min="13833" max="13833" width="10.42578125" customWidth="1"/>
    <col min="13834" max="13834" width="10.7109375" customWidth="1"/>
    <col min="13835" max="13835" width="9.7109375" customWidth="1"/>
    <col min="13836" max="13836" width="10.140625" customWidth="1"/>
    <col min="14081" max="14081" width="1.85546875" customWidth="1"/>
    <col min="14082" max="14082" width="3.7109375" customWidth="1"/>
    <col min="14083" max="14083" width="67.7109375" customWidth="1"/>
    <col min="14084" max="14084" width="10.140625" customWidth="1"/>
    <col min="14085" max="14085" width="9.85546875" customWidth="1"/>
    <col min="14086" max="14087" width="10.5703125" customWidth="1"/>
    <col min="14088" max="14088" width="9.85546875" customWidth="1"/>
    <col min="14089" max="14089" width="10.42578125" customWidth="1"/>
    <col min="14090" max="14090" width="10.7109375" customWidth="1"/>
    <col min="14091" max="14091" width="9.7109375" customWidth="1"/>
    <col min="14092" max="14092" width="10.140625" customWidth="1"/>
    <col min="14337" max="14337" width="1.85546875" customWidth="1"/>
    <col min="14338" max="14338" width="3.7109375" customWidth="1"/>
    <col min="14339" max="14339" width="67.7109375" customWidth="1"/>
    <col min="14340" max="14340" width="10.140625" customWidth="1"/>
    <col min="14341" max="14341" width="9.85546875" customWidth="1"/>
    <col min="14342" max="14343" width="10.5703125" customWidth="1"/>
    <col min="14344" max="14344" width="9.85546875" customWidth="1"/>
    <col min="14345" max="14345" width="10.42578125" customWidth="1"/>
    <col min="14346" max="14346" width="10.7109375" customWidth="1"/>
    <col min="14347" max="14347" width="9.7109375" customWidth="1"/>
    <col min="14348" max="14348" width="10.140625" customWidth="1"/>
    <col min="14593" max="14593" width="1.85546875" customWidth="1"/>
    <col min="14594" max="14594" width="3.7109375" customWidth="1"/>
    <col min="14595" max="14595" width="67.7109375" customWidth="1"/>
    <col min="14596" max="14596" width="10.140625" customWidth="1"/>
    <col min="14597" max="14597" width="9.85546875" customWidth="1"/>
    <col min="14598" max="14599" width="10.5703125" customWidth="1"/>
    <col min="14600" max="14600" width="9.85546875" customWidth="1"/>
    <col min="14601" max="14601" width="10.42578125" customWidth="1"/>
    <col min="14602" max="14602" width="10.7109375" customWidth="1"/>
    <col min="14603" max="14603" width="9.7109375" customWidth="1"/>
    <col min="14604" max="14604" width="10.140625" customWidth="1"/>
    <col min="14849" max="14849" width="1.85546875" customWidth="1"/>
    <col min="14850" max="14850" width="3.7109375" customWidth="1"/>
    <col min="14851" max="14851" width="67.7109375" customWidth="1"/>
    <col min="14852" max="14852" width="10.140625" customWidth="1"/>
    <col min="14853" max="14853" width="9.85546875" customWidth="1"/>
    <col min="14854" max="14855" width="10.5703125" customWidth="1"/>
    <col min="14856" max="14856" width="9.85546875" customWidth="1"/>
    <col min="14857" max="14857" width="10.42578125" customWidth="1"/>
    <col min="14858" max="14858" width="10.7109375" customWidth="1"/>
    <col min="14859" max="14859" width="9.7109375" customWidth="1"/>
    <col min="14860" max="14860" width="10.140625" customWidth="1"/>
    <col min="15105" max="15105" width="1.85546875" customWidth="1"/>
    <col min="15106" max="15106" width="3.7109375" customWidth="1"/>
    <col min="15107" max="15107" width="67.7109375" customWidth="1"/>
    <col min="15108" max="15108" width="10.140625" customWidth="1"/>
    <col min="15109" max="15109" width="9.85546875" customWidth="1"/>
    <col min="15110" max="15111" width="10.5703125" customWidth="1"/>
    <col min="15112" max="15112" width="9.85546875" customWidth="1"/>
    <col min="15113" max="15113" width="10.42578125" customWidth="1"/>
    <col min="15114" max="15114" width="10.7109375" customWidth="1"/>
    <col min="15115" max="15115" width="9.7109375" customWidth="1"/>
    <col min="15116" max="15116" width="10.140625" customWidth="1"/>
    <col min="15361" max="15361" width="1.85546875" customWidth="1"/>
    <col min="15362" max="15362" width="3.7109375" customWidth="1"/>
    <col min="15363" max="15363" width="67.7109375" customWidth="1"/>
    <col min="15364" max="15364" width="10.140625" customWidth="1"/>
    <col min="15365" max="15365" width="9.85546875" customWidth="1"/>
    <col min="15366" max="15367" width="10.5703125" customWidth="1"/>
    <col min="15368" max="15368" width="9.85546875" customWidth="1"/>
    <col min="15369" max="15369" width="10.42578125" customWidth="1"/>
    <col min="15370" max="15370" width="10.7109375" customWidth="1"/>
    <col min="15371" max="15371" width="9.7109375" customWidth="1"/>
    <col min="15372" max="15372" width="10.140625" customWidth="1"/>
    <col min="15617" max="15617" width="1.85546875" customWidth="1"/>
    <col min="15618" max="15618" width="3.7109375" customWidth="1"/>
    <col min="15619" max="15619" width="67.7109375" customWidth="1"/>
    <col min="15620" max="15620" width="10.140625" customWidth="1"/>
    <col min="15621" max="15621" width="9.85546875" customWidth="1"/>
    <col min="15622" max="15623" width="10.5703125" customWidth="1"/>
    <col min="15624" max="15624" width="9.85546875" customWidth="1"/>
    <col min="15625" max="15625" width="10.42578125" customWidth="1"/>
    <col min="15626" max="15626" width="10.7109375" customWidth="1"/>
    <col min="15627" max="15627" width="9.7109375" customWidth="1"/>
    <col min="15628" max="15628" width="10.140625" customWidth="1"/>
    <col min="15873" max="15873" width="1.85546875" customWidth="1"/>
    <col min="15874" max="15874" width="3.7109375" customWidth="1"/>
    <col min="15875" max="15875" width="67.7109375" customWidth="1"/>
    <col min="15876" max="15876" width="10.140625" customWidth="1"/>
    <col min="15877" max="15877" width="9.85546875" customWidth="1"/>
    <col min="15878" max="15879" width="10.5703125" customWidth="1"/>
    <col min="15880" max="15880" width="9.85546875" customWidth="1"/>
    <col min="15881" max="15881" width="10.42578125" customWidth="1"/>
    <col min="15882" max="15882" width="10.7109375" customWidth="1"/>
    <col min="15883" max="15883" width="9.7109375" customWidth="1"/>
    <col min="15884" max="15884" width="10.140625" customWidth="1"/>
    <col min="16129" max="16129" width="1.85546875" customWidth="1"/>
    <col min="16130" max="16130" width="3.7109375" customWidth="1"/>
    <col min="16131" max="16131" width="67.7109375" customWidth="1"/>
    <col min="16132" max="16132" width="10.140625" customWidth="1"/>
    <col min="16133" max="16133" width="9.85546875" customWidth="1"/>
    <col min="16134" max="16135" width="10.5703125" customWidth="1"/>
    <col min="16136" max="16136" width="9.85546875" customWidth="1"/>
    <col min="16137" max="16137" width="10.42578125" customWidth="1"/>
    <col min="16138" max="16138" width="10.7109375" customWidth="1"/>
    <col min="16139" max="16139" width="9.7109375" customWidth="1"/>
    <col min="16140" max="16140" width="10.140625" customWidth="1"/>
  </cols>
  <sheetData>
    <row r="1" spans="2:18" x14ac:dyDescent="0.25">
      <c r="I1" s="197"/>
    </row>
    <row r="2" spans="2:18" ht="27.75" customHeight="1" x14ac:dyDescent="0.25">
      <c r="B2" s="346"/>
      <c r="C2" s="347"/>
      <c r="D2" s="350" t="s">
        <v>934</v>
      </c>
      <c r="E2" s="351"/>
      <c r="F2" s="352"/>
      <c r="G2" s="353" t="s">
        <v>938</v>
      </c>
      <c r="H2" s="353"/>
      <c r="I2" s="353"/>
      <c r="J2" s="354" t="s">
        <v>939</v>
      </c>
      <c r="K2" s="353"/>
      <c r="L2" s="355"/>
    </row>
    <row r="3" spans="2:18" ht="34.5" customHeight="1" x14ac:dyDescent="0.25">
      <c r="B3" s="348"/>
      <c r="C3" s="349"/>
      <c r="D3" s="198" t="s">
        <v>753</v>
      </c>
      <c r="E3" s="199" t="s">
        <v>754</v>
      </c>
      <c r="F3" s="200" t="s">
        <v>910</v>
      </c>
      <c r="G3" s="201" t="s">
        <v>753</v>
      </c>
      <c r="H3" s="202" t="s">
        <v>754</v>
      </c>
      <c r="I3" s="203" t="s">
        <v>910</v>
      </c>
      <c r="J3" s="204" t="s">
        <v>753</v>
      </c>
      <c r="K3" s="202" t="s">
        <v>754</v>
      </c>
      <c r="L3" s="205" t="s">
        <v>910</v>
      </c>
    </row>
    <row r="4" spans="2:18" x14ac:dyDescent="0.25">
      <c r="B4" s="206">
        <v>1</v>
      </c>
      <c r="C4" s="207" t="s">
        <v>918</v>
      </c>
      <c r="D4" s="208">
        <f>'Príjmy viacročný'!H139</f>
        <v>38608366</v>
      </c>
      <c r="E4" s="209">
        <f>'Príjmy viacročný'!H150</f>
        <v>200000</v>
      </c>
      <c r="F4" s="210">
        <f>E4+D4</f>
        <v>38808366</v>
      </c>
      <c r="G4" s="211">
        <f>'Príjmy viacročný'!J139</f>
        <v>39379600</v>
      </c>
      <c r="H4" s="209">
        <f>'Príjmy viacročný'!J150</f>
        <v>0</v>
      </c>
      <c r="I4" s="212">
        <f>H4+G4</f>
        <v>39379600</v>
      </c>
      <c r="J4" s="208">
        <f>'Príjmy viacročný'!L139</f>
        <v>40132600</v>
      </c>
      <c r="K4" s="209">
        <f>'Príjmy viacročný'!L150</f>
        <v>0</v>
      </c>
      <c r="L4" s="210">
        <f>K4+J4</f>
        <v>40132600</v>
      </c>
      <c r="N4" s="11"/>
      <c r="P4" s="11"/>
      <c r="R4" s="11"/>
    </row>
    <row r="5" spans="2:18" x14ac:dyDescent="0.25">
      <c r="B5" s="206">
        <v>2</v>
      </c>
      <c r="C5" s="207" t="s">
        <v>919</v>
      </c>
      <c r="D5" s="208">
        <f>SUM(D6:D17)</f>
        <v>34727511</v>
      </c>
      <c r="E5" s="209">
        <f t="shared" ref="E5:J5" si="0">SUM(E6:E17)</f>
        <v>11278666</v>
      </c>
      <c r="F5" s="210">
        <f>E5+D5</f>
        <v>46006177</v>
      </c>
      <c r="G5" s="211">
        <f t="shared" si="0"/>
        <v>35227030</v>
      </c>
      <c r="H5" s="209">
        <f>SUM(H6:H17)+1485590</f>
        <v>1568970</v>
      </c>
      <c r="I5" s="212">
        <f t="shared" ref="I5:I17" si="1">H5+G5</f>
        <v>36796000</v>
      </c>
      <c r="J5" s="208">
        <f t="shared" si="0"/>
        <v>35833730</v>
      </c>
      <c r="K5" s="209">
        <f>SUM(K6:K17)+2826490-257700</f>
        <v>2652170</v>
      </c>
      <c r="L5" s="210">
        <f t="shared" ref="L5:L17" si="2">K5+J5</f>
        <v>38485900</v>
      </c>
      <c r="N5" s="11"/>
      <c r="P5" s="11"/>
      <c r="R5" s="11"/>
    </row>
    <row r="6" spans="2:18" x14ac:dyDescent="0.25">
      <c r="B6" s="213">
        <v>3</v>
      </c>
      <c r="C6" s="214" t="s">
        <v>671</v>
      </c>
      <c r="D6" s="215">
        <f>'Výdavky viacročný'!I10</f>
        <v>478100</v>
      </c>
      <c r="E6" s="216">
        <f>'Výdavky viacročný'!K10</f>
        <v>425000</v>
      </c>
      <c r="F6" s="217">
        <f t="shared" ref="F6:F17" si="3">E6+D6</f>
        <v>903100</v>
      </c>
      <c r="G6" s="218">
        <f>'Výdavky viacročný'!O10</f>
        <v>479000</v>
      </c>
      <c r="H6" s="216"/>
      <c r="I6" s="219">
        <f t="shared" si="1"/>
        <v>479000</v>
      </c>
      <c r="J6" s="215">
        <f>'Výdavky viacročný'!Q10</f>
        <v>479000</v>
      </c>
      <c r="K6" s="216"/>
      <c r="L6" s="217">
        <f t="shared" si="2"/>
        <v>479000</v>
      </c>
      <c r="N6" s="11"/>
      <c r="P6" s="11"/>
      <c r="R6" s="11"/>
    </row>
    <row r="7" spans="2:18" x14ac:dyDescent="0.25">
      <c r="B7" s="213">
        <v>4</v>
      </c>
      <c r="C7" s="214" t="s">
        <v>920</v>
      </c>
      <c r="D7" s="215">
        <f>'Výdavky viacročný'!I32</f>
        <v>84020</v>
      </c>
      <c r="E7" s="216">
        <f>'Výdavky viacročný'!K32</f>
        <v>0</v>
      </c>
      <c r="F7" s="217">
        <f t="shared" si="3"/>
        <v>84020</v>
      </c>
      <c r="G7" s="218">
        <f>'Výdavky viacročný'!O32</f>
        <v>103000</v>
      </c>
      <c r="H7" s="216"/>
      <c r="I7" s="219">
        <f t="shared" si="1"/>
        <v>103000</v>
      </c>
      <c r="J7" s="215">
        <f>'Výdavky viacročný'!Q32</f>
        <v>103000</v>
      </c>
      <c r="K7" s="216"/>
      <c r="L7" s="217">
        <f t="shared" si="2"/>
        <v>103000</v>
      </c>
      <c r="N7" s="11"/>
      <c r="P7" s="11"/>
      <c r="R7" s="11"/>
    </row>
    <row r="8" spans="2:18" x14ac:dyDescent="0.25">
      <c r="B8" s="213">
        <v>5</v>
      </c>
      <c r="C8" s="214" t="s">
        <v>673</v>
      </c>
      <c r="D8" s="215">
        <f>'Výdavky viacročný'!I50</f>
        <v>3985570</v>
      </c>
      <c r="E8" s="216">
        <f>'Výdavky viacročný'!K50</f>
        <v>801415</v>
      </c>
      <c r="F8" s="217">
        <f t="shared" si="3"/>
        <v>4786985</v>
      </c>
      <c r="G8" s="218">
        <f>'Výdavky viacročný'!O50</f>
        <v>3946300</v>
      </c>
      <c r="H8" s="216"/>
      <c r="I8" s="219">
        <f t="shared" si="1"/>
        <v>3946300</v>
      </c>
      <c r="J8" s="215">
        <f>'Výdavky viacročný'!Q50</f>
        <v>3946300</v>
      </c>
      <c r="K8" s="216"/>
      <c r="L8" s="217">
        <f t="shared" si="2"/>
        <v>3946300</v>
      </c>
      <c r="N8" s="11"/>
      <c r="P8" s="11"/>
      <c r="R8" s="11"/>
    </row>
    <row r="9" spans="2:18" x14ac:dyDescent="0.25">
      <c r="B9" s="213">
        <v>6</v>
      </c>
      <c r="C9" s="214" t="s">
        <v>674</v>
      </c>
      <c r="D9" s="215">
        <f>'Výdavky viacročný'!I69</f>
        <v>540575</v>
      </c>
      <c r="E9" s="216">
        <f>'Výdavky viacročný'!K69</f>
        <v>20962</v>
      </c>
      <c r="F9" s="217">
        <f t="shared" si="3"/>
        <v>561537</v>
      </c>
      <c r="G9" s="218">
        <f>'Výdavky viacročný'!O69</f>
        <v>542300</v>
      </c>
      <c r="H9" s="216"/>
      <c r="I9" s="219">
        <f t="shared" si="1"/>
        <v>542300</v>
      </c>
      <c r="J9" s="215">
        <f>'Výdavky viacročný'!Q69</f>
        <v>544300</v>
      </c>
      <c r="K9" s="216"/>
      <c r="L9" s="217">
        <f t="shared" si="2"/>
        <v>544300</v>
      </c>
      <c r="N9" s="11"/>
      <c r="P9" s="11"/>
      <c r="R9" s="11"/>
    </row>
    <row r="10" spans="2:18" x14ac:dyDescent="0.25">
      <c r="B10" s="213">
        <v>7</v>
      </c>
      <c r="C10" s="214" t="s">
        <v>675</v>
      </c>
      <c r="D10" s="215">
        <f>'Výdavky viacročný'!I86</f>
        <v>1657425</v>
      </c>
      <c r="E10" s="216">
        <f>'Výdavky viacročný'!K86</f>
        <v>16700</v>
      </c>
      <c r="F10" s="217">
        <f t="shared" si="3"/>
        <v>1674125</v>
      </c>
      <c r="G10" s="218">
        <f>'Výdavky viacročný'!O86</f>
        <v>1708000</v>
      </c>
      <c r="H10" s="216"/>
      <c r="I10" s="219">
        <f t="shared" si="1"/>
        <v>1708000</v>
      </c>
      <c r="J10" s="215">
        <f>'Výdavky viacročný'!Q86</f>
        <v>1758000</v>
      </c>
      <c r="K10" s="216"/>
      <c r="L10" s="217">
        <f t="shared" si="2"/>
        <v>1758000</v>
      </c>
      <c r="N10" s="11"/>
      <c r="P10" s="11"/>
      <c r="R10" s="11"/>
    </row>
    <row r="11" spans="2:18" x14ac:dyDescent="0.25">
      <c r="B11" s="213">
        <v>8</v>
      </c>
      <c r="C11" s="214" t="s">
        <v>676</v>
      </c>
      <c r="D11" s="215">
        <f>'Výdavky viacročný'!I100</f>
        <v>4143133</v>
      </c>
      <c r="E11" s="216">
        <f>'Výdavky viacročný'!K100</f>
        <v>5637217</v>
      </c>
      <c r="F11" s="217">
        <f t="shared" si="3"/>
        <v>9780350</v>
      </c>
      <c r="G11" s="218">
        <f>'Výdavky viacročný'!O100</f>
        <v>4174000</v>
      </c>
      <c r="H11" s="216"/>
      <c r="I11" s="219">
        <f t="shared" si="1"/>
        <v>4174000</v>
      </c>
      <c r="J11" s="215">
        <f>'Výdavky viacročný'!Q100</f>
        <v>4274000</v>
      </c>
      <c r="K11" s="216"/>
      <c r="L11" s="217">
        <f t="shared" si="2"/>
        <v>4274000</v>
      </c>
      <c r="N11" s="11"/>
      <c r="P11" s="11"/>
      <c r="R11" s="11"/>
    </row>
    <row r="12" spans="2:18" x14ac:dyDescent="0.25">
      <c r="B12" s="213">
        <v>9</v>
      </c>
      <c r="C12" s="214" t="s">
        <v>677</v>
      </c>
      <c r="D12" s="215">
        <f>'Výdavky viacročný'!I124</f>
        <v>14943954</v>
      </c>
      <c r="E12" s="216">
        <f>'Výdavky viacročný'!K124</f>
        <v>762902</v>
      </c>
      <c r="F12" s="217">
        <f t="shared" si="3"/>
        <v>15706856</v>
      </c>
      <c r="G12" s="218">
        <f>'Výdavky viacročný'!O124</f>
        <v>15323000</v>
      </c>
      <c r="H12" s="216"/>
      <c r="I12" s="219">
        <f t="shared" si="1"/>
        <v>15323000</v>
      </c>
      <c r="J12" s="215">
        <f>'Výdavky viacročný'!Q124</f>
        <v>15735000</v>
      </c>
      <c r="K12" s="216"/>
      <c r="L12" s="217">
        <f t="shared" si="2"/>
        <v>15735000</v>
      </c>
      <c r="N12" s="11"/>
      <c r="P12" s="11"/>
      <c r="R12" s="11"/>
    </row>
    <row r="13" spans="2:18" x14ac:dyDescent="0.25">
      <c r="B13" s="213">
        <v>10</v>
      </c>
      <c r="C13" s="214" t="s">
        <v>921</v>
      </c>
      <c r="D13" s="215">
        <f>'Výdavky viacročný'!I138</f>
        <v>1985544</v>
      </c>
      <c r="E13" s="216">
        <f>'Výdavky viacročný'!K138</f>
        <v>986080</v>
      </c>
      <c r="F13" s="217">
        <f t="shared" si="3"/>
        <v>2971624</v>
      </c>
      <c r="G13" s="218">
        <f>'Výdavky viacročný'!O138</f>
        <v>1988030</v>
      </c>
      <c r="H13" s="216"/>
      <c r="I13" s="219">
        <f t="shared" si="1"/>
        <v>1988030</v>
      </c>
      <c r="J13" s="215">
        <f>'Výdavky viacročný'!Q138</f>
        <v>1988030</v>
      </c>
      <c r="K13" s="216"/>
      <c r="L13" s="217">
        <f t="shared" si="2"/>
        <v>1988030</v>
      </c>
      <c r="N13" s="11"/>
      <c r="P13" s="11"/>
      <c r="R13" s="11"/>
    </row>
    <row r="14" spans="2:18" x14ac:dyDescent="0.25">
      <c r="B14" s="213">
        <v>11</v>
      </c>
      <c r="C14" s="214" t="s">
        <v>679</v>
      </c>
      <c r="D14" s="215">
        <f>'Výdavky viacročný'!I161</f>
        <v>403800</v>
      </c>
      <c r="E14" s="216">
        <f>'Výdavky viacročný'!K161</f>
        <v>82620</v>
      </c>
      <c r="F14" s="217">
        <f t="shared" si="3"/>
        <v>486420</v>
      </c>
      <c r="G14" s="218">
        <f>'Výdavky viacročný'!O161</f>
        <v>397000</v>
      </c>
      <c r="H14" s="216">
        <v>18320</v>
      </c>
      <c r="I14" s="219">
        <f t="shared" si="1"/>
        <v>415320</v>
      </c>
      <c r="J14" s="215">
        <f>'Výdavky viacročný'!Q161</f>
        <v>402000</v>
      </c>
      <c r="K14" s="216">
        <v>18320</v>
      </c>
      <c r="L14" s="217">
        <f t="shared" si="2"/>
        <v>420320</v>
      </c>
      <c r="N14" s="11"/>
      <c r="P14" s="11"/>
      <c r="R14" s="11"/>
    </row>
    <row r="15" spans="2:18" x14ac:dyDescent="0.25">
      <c r="B15" s="213">
        <v>12</v>
      </c>
      <c r="C15" s="214" t="s">
        <v>680</v>
      </c>
      <c r="D15" s="215">
        <f>'Výdavky viacročný'!I174</f>
        <v>3638890</v>
      </c>
      <c r="E15" s="216">
        <f>'Výdavky viacročný'!K174</f>
        <v>180770</v>
      </c>
      <c r="F15" s="217">
        <f t="shared" si="3"/>
        <v>3819660</v>
      </c>
      <c r="G15" s="218">
        <f>'Výdavky viacročný'!O174</f>
        <v>3587650</v>
      </c>
      <c r="H15" s="216">
        <v>65060</v>
      </c>
      <c r="I15" s="219">
        <f t="shared" si="1"/>
        <v>3652710</v>
      </c>
      <c r="J15" s="215">
        <f>'Výdavky viacročný'!Q174</f>
        <v>3587650</v>
      </c>
      <c r="K15" s="216">
        <v>65060</v>
      </c>
      <c r="L15" s="217">
        <f t="shared" si="2"/>
        <v>3652710</v>
      </c>
      <c r="N15" s="11"/>
      <c r="P15" s="11"/>
      <c r="R15" s="11"/>
    </row>
    <row r="16" spans="2:18" x14ac:dyDescent="0.25">
      <c r="B16" s="213">
        <v>13</v>
      </c>
      <c r="C16" s="214" t="s">
        <v>681</v>
      </c>
      <c r="D16" s="215">
        <f>'Výdavky viacročný'!I197</f>
        <v>2664450</v>
      </c>
      <c r="E16" s="216">
        <f>'Výdavky viacročný'!K197</f>
        <v>10000</v>
      </c>
      <c r="F16" s="217">
        <f t="shared" si="3"/>
        <v>2674450</v>
      </c>
      <c r="G16" s="218">
        <f>'Výdavky viacročný'!O197</f>
        <v>2700000</v>
      </c>
      <c r="H16" s="216"/>
      <c r="I16" s="219">
        <f t="shared" si="1"/>
        <v>2700000</v>
      </c>
      <c r="J16" s="215">
        <f>'Výdavky viacročný'!Q197</f>
        <v>2737700</v>
      </c>
      <c r="K16" s="216"/>
      <c r="L16" s="217">
        <f t="shared" si="2"/>
        <v>2737700</v>
      </c>
      <c r="N16" s="11"/>
      <c r="P16" s="11"/>
      <c r="R16" s="11"/>
    </row>
    <row r="17" spans="2:18" x14ac:dyDescent="0.25">
      <c r="B17" s="213">
        <v>14</v>
      </c>
      <c r="C17" s="214" t="s">
        <v>682</v>
      </c>
      <c r="D17" s="215">
        <f>'Výdavky viacročný'!I219</f>
        <v>202050</v>
      </c>
      <c r="E17" s="216">
        <f>'Výdavky viacročný'!K219</f>
        <v>2355000</v>
      </c>
      <c r="F17" s="217">
        <f t="shared" si="3"/>
        <v>2557050</v>
      </c>
      <c r="G17" s="218">
        <f>'Výdavky viacročný'!O219</f>
        <v>278750</v>
      </c>
      <c r="H17" s="216"/>
      <c r="I17" s="219">
        <f t="shared" si="1"/>
        <v>278750</v>
      </c>
      <c r="J17" s="215">
        <f>'Výdavky viacročný'!Q219</f>
        <v>278750</v>
      </c>
      <c r="K17" s="216"/>
      <c r="L17" s="217">
        <f t="shared" si="2"/>
        <v>278750</v>
      </c>
      <c r="N17" s="11"/>
      <c r="P17" s="11"/>
      <c r="R17" s="11"/>
    </row>
    <row r="18" spans="2:18" x14ac:dyDescent="0.25">
      <c r="B18" s="206">
        <v>15</v>
      </c>
      <c r="C18" s="207" t="s">
        <v>683</v>
      </c>
      <c r="D18" s="208">
        <f>D4-D5</f>
        <v>3880855</v>
      </c>
      <c r="E18" s="209"/>
      <c r="F18" s="210"/>
      <c r="G18" s="211">
        <f>G4-G5</f>
        <v>4152570</v>
      </c>
      <c r="H18" s="209"/>
      <c r="I18" s="212"/>
      <c r="J18" s="208">
        <f>J4-J5</f>
        <v>4298870</v>
      </c>
      <c r="K18" s="209"/>
      <c r="L18" s="210"/>
    </row>
    <row r="19" spans="2:18" x14ac:dyDescent="0.25">
      <c r="B19" s="206">
        <v>16</v>
      </c>
      <c r="C19" s="207" t="s">
        <v>922</v>
      </c>
      <c r="D19" s="208"/>
      <c r="E19" s="209">
        <f>E4-E5</f>
        <v>-11078666</v>
      </c>
      <c r="F19" s="210"/>
      <c r="G19" s="211"/>
      <c r="H19" s="209">
        <f>H4-H5</f>
        <v>-1568970</v>
      </c>
      <c r="I19" s="212"/>
      <c r="J19" s="208"/>
      <c r="K19" s="209">
        <f>K4-K5</f>
        <v>-2652170</v>
      </c>
      <c r="L19" s="210"/>
    </row>
    <row r="20" spans="2:18" x14ac:dyDescent="0.25">
      <c r="B20" s="206">
        <v>17</v>
      </c>
      <c r="C20" s="207" t="s">
        <v>923</v>
      </c>
      <c r="D20" s="208"/>
      <c r="E20" s="209"/>
      <c r="F20" s="210">
        <f>F4-F5</f>
        <v>-7197811</v>
      </c>
      <c r="G20" s="211"/>
      <c r="H20" s="209"/>
      <c r="I20" s="212">
        <f>I4-I5</f>
        <v>2583600</v>
      </c>
      <c r="J20" s="208"/>
      <c r="K20" s="209"/>
      <c r="L20" s="210">
        <f>L4-L5</f>
        <v>1646700</v>
      </c>
    </row>
    <row r="22" spans="2:18" ht="15.75" x14ac:dyDescent="0.25">
      <c r="B22" s="356" t="s">
        <v>686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</row>
    <row r="23" spans="2:18" ht="15.75" x14ac:dyDescent="0.25">
      <c r="B23" s="220">
        <v>1</v>
      </c>
      <c r="C23" s="195" t="s">
        <v>687</v>
      </c>
      <c r="D23" s="236"/>
      <c r="E23" s="225"/>
      <c r="F23" s="223">
        <f>SUM(F24:F27)</f>
        <v>10082511</v>
      </c>
      <c r="G23" s="222"/>
      <c r="H23" s="227"/>
      <c r="I23" s="221">
        <f>SUM(I24:I27)</f>
        <v>500000</v>
      </c>
      <c r="J23" s="243"/>
      <c r="K23" s="227"/>
      <c r="L23" s="226">
        <f>SUM(L24:L27)</f>
        <v>0</v>
      </c>
    </row>
    <row r="24" spans="2:18" x14ac:dyDescent="0.25">
      <c r="B24" s="220">
        <f>B23+1</f>
        <v>2</v>
      </c>
      <c r="C24" s="250" t="s">
        <v>755</v>
      </c>
      <c r="D24" s="237"/>
      <c r="E24" s="228"/>
      <c r="F24" s="238">
        <f>Sumarizácia!N27</f>
        <v>4067256</v>
      </c>
      <c r="G24" s="196"/>
      <c r="H24" s="228"/>
      <c r="I24" s="246"/>
      <c r="J24" s="247"/>
      <c r="K24" s="248"/>
      <c r="L24" s="248"/>
      <c r="M24" s="231"/>
    </row>
    <row r="25" spans="2:18" x14ac:dyDescent="0.25">
      <c r="B25" s="220">
        <f t="shared" ref="B25:B35" si="4">B24+1</f>
        <v>3</v>
      </c>
      <c r="C25" s="250" t="s">
        <v>756</v>
      </c>
      <c r="D25" s="237"/>
      <c r="E25" s="228"/>
      <c r="F25" s="238">
        <f>Sumarizácia!N30</f>
        <v>540255</v>
      </c>
      <c r="G25" s="196"/>
      <c r="H25" s="228"/>
      <c r="I25" s="246"/>
      <c r="J25" s="247"/>
      <c r="K25" s="248"/>
      <c r="L25" s="248"/>
      <c r="M25" s="231"/>
    </row>
    <row r="26" spans="2:18" x14ac:dyDescent="0.25">
      <c r="B26" s="220">
        <f t="shared" si="4"/>
        <v>4</v>
      </c>
      <c r="C26" s="250" t="s">
        <v>758</v>
      </c>
      <c r="D26" s="237"/>
      <c r="E26" s="228"/>
      <c r="F26" s="238">
        <f>Sumarizácia!N33</f>
        <v>3120000</v>
      </c>
      <c r="G26" s="196"/>
      <c r="H26" s="228"/>
      <c r="I26" s="246">
        <v>500000</v>
      </c>
      <c r="J26" s="247"/>
      <c r="K26" s="248"/>
      <c r="L26" s="248">
        <v>0</v>
      </c>
      <c r="M26" s="231"/>
    </row>
    <row r="27" spans="2:18" x14ac:dyDescent="0.25">
      <c r="B27" s="220">
        <f t="shared" si="4"/>
        <v>5</v>
      </c>
      <c r="C27" s="250" t="s">
        <v>767</v>
      </c>
      <c r="D27" s="239"/>
      <c r="E27" s="229"/>
      <c r="F27" s="240">
        <f>Sumarizácia!N34</f>
        <v>2355000</v>
      </c>
      <c r="G27" s="194"/>
      <c r="H27" s="229"/>
      <c r="I27" s="244"/>
      <c r="J27" s="249"/>
      <c r="K27" s="245"/>
      <c r="L27" s="245"/>
      <c r="M27" s="232"/>
    </row>
    <row r="28" spans="2:18" ht="15.75" x14ac:dyDescent="0.25">
      <c r="B28" s="220">
        <f t="shared" si="4"/>
        <v>6</v>
      </c>
      <c r="C28" s="195" t="s">
        <v>688</v>
      </c>
      <c r="D28" s="236"/>
      <c r="E28" s="225"/>
      <c r="F28" s="223">
        <f>SUM(F29:F34)</f>
        <v>2884700</v>
      </c>
      <c r="G28" s="222"/>
      <c r="H28" s="227"/>
      <c r="I28" s="221">
        <f>SUM(I29:I34)</f>
        <v>3083600</v>
      </c>
      <c r="J28" s="243"/>
      <c r="K28" s="227"/>
      <c r="L28" s="226">
        <f>SUM(L29:L34)</f>
        <v>1646700</v>
      </c>
      <c r="M28" s="233"/>
    </row>
    <row r="29" spans="2:18" x14ac:dyDescent="0.25">
      <c r="B29" s="220">
        <f t="shared" si="4"/>
        <v>7</v>
      </c>
      <c r="C29" s="250" t="s">
        <v>760</v>
      </c>
      <c r="D29" s="239"/>
      <c r="E29" s="229"/>
      <c r="F29" s="240">
        <f>Sumarizácia!N36</f>
        <v>1670000</v>
      </c>
      <c r="G29" s="194"/>
      <c r="H29" s="229"/>
      <c r="I29" s="244">
        <v>1868900</v>
      </c>
      <c r="J29" s="239"/>
      <c r="K29" s="229"/>
      <c r="L29" s="245">
        <v>1357000</v>
      </c>
      <c r="M29" s="232"/>
    </row>
    <row r="30" spans="2:18" x14ac:dyDescent="0.25">
      <c r="B30" s="220">
        <f>B29+1</f>
        <v>8</v>
      </c>
      <c r="C30" s="250" t="s">
        <v>761</v>
      </c>
      <c r="D30" s="239"/>
      <c r="E30" s="229"/>
      <c r="F30" s="240">
        <f>Sumarizácia!N37</f>
        <v>925000</v>
      </c>
      <c r="G30" s="194"/>
      <c r="H30" s="229"/>
      <c r="I30" s="244">
        <v>925000</v>
      </c>
      <c r="J30" s="239"/>
      <c r="K30" s="229"/>
      <c r="L30" s="245">
        <v>0</v>
      </c>
      <c r="M30" s="232"/>
    </row>
    <row r="31" spans="2:18" x14ac:dyDescent="0.25">
      <c r="B31" s="220">
        <f t="shared" si="4"/>
        <v>9</v>
      </c>
      <c r="C31" s="250" t="s">
        <v>762</v>
      </c>
      <c r="D31" s="239"/>
      <c r="E31" s="229"/>
      <c r="F31" s="240">
        <f>Sumarizácia!N39</f>
        <v>58700</v>
      </c>
      <c r="G31" s="194"/>
      <c r="H31" s="229"/>
      <c r="I31" s="244">
        <v>58700</v>
      </c>
      <c r="J31" s="239"/>
      <c r="K31" s="229"/>
      <c r="L31" s="245">
        <v>58700</v>
      </c>
      <c r="M31" s="232"/>
    </row>
    <row r="32" spans="2:18" x14ac:dyDescent="0.25">
      <c r="B32" s="220">
        <f t="shared" si="4"/>
        <v>10</v>
      </c>
      <c r="C32" s="250" t="s">
        <v>762</v>
      </c>
      <c r="D32" s="239"/>
      <c r="E32" s="229"/>
      <c r="F32" s="240">
        <f>Sumarizácia!N41</f>
        <v>126000</v>
      </c>
      <c r="G32" s="194"/>
      <c r="H32" s="229"/>
      <c r="I32" s="244">
        <v>126000</v>
      </c>
      <c r="J32" s="239"/>
      <c r="K32" s="229"/>
      <c r="L32" s="245">
        <v>126000</v>
      </c>
      <c r="M32" s="232"/>
    </row>
    <row r="33" spans="2:13" x14ac:dyDescent="0.25">
      <c r="B33" s="220">
        <f t="shared" si="4"/>
        <v>11</v>
      </c>
      <c r="C33" s="250" t="s">
        <v>931</v>
      </c>
      <c r="D33" s="239"/>
      <c r="E33" s="229"/>
      <c r="F33" s="240">
        <f>Sumarizácia!N42</f>
        <v>25000</v>
      </c>
      <c r="G33" s="194"/>
      <c r="H33" s="229"/>
      <c r="I33" s="244">
        <v>25000</v>
      </c>
      <c r="J33" s="239"/>
      <c r="K33" s="229"/>
      <c r="L33" s="245">
        <v>25000</v>
      </c>
      <c r="M33" s="232"/>
    </row>
    <row r="34" spans="2:13" x14ac:dyDescent="0.25">
      <c r="B34" s="220">
        <f t="shared" si="4"/>
        <v>12</v>
      </c>
      <c r="C34" s="250" t="s">
        <v>763</v>
      </c>
      <c r="D34" s="239"/>
      <c r="E34" s="229"/>
      <c r="F34" s="240">
        <f>Sumarizácia!N43</f>
        <v>80000</v>
      </c>
      <c r="G34" s="194"/>
      <c r="H34" s="229"/>
      <c r="I34" s="244">
        <v>80000</v>
      </c>
      <c r="J34" s="239"/>
      <c r="K34" s="229"/>
      <c r="L34" s="245">
        <v>80000</v>
      </c>
      <c r="M34" s="232"/>
    </row>
    <row r="35" spans="2:13" ht="15.75" x14ac:dyDescent="0.25">
      <c r="B35" s="220">
        <f t="shared" si="4"/>
        <v>13</v>
      </c>
      <c r="C35" s="234" t="s">
        <v>689</v>
      </c>
      <c r="D35" s="241"/>
      <c r="E35" s="230"/>
      <c r="F35" s="242">
        <f>F20+F23-F28</f>
        <v>0</v>
      </c>
      <c r="G35" s="235"/>
      <c r="H35" s="230"/>
      <c r="I35" s="234">
        <f>I20+I23-I28</f>
        <v>0</v>
      </c>
      <c r="J35" s="241"/>
      <c r="K35" s="230"/>
      <c r="L35" s="230">
        <f>L20+L23-L28</f>
        <v>0</v>
      </c>
    </row>
    <row r="36" spans="2:13" x14ac:dyDescent="0.25">
      <c r="B36" s="224"/>
    </row>
    <row r="37" spans="2:13" ht="26.25" customHeight="1" x14ac:dyDescent="0.25">
      <c r="B37" s="357" t="s">
        <v>911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</row>
    <row r="38" spans="2:13" x14ac:dyDescent="0.25"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</row>
  </sheetData>
  <mergeCells count="7">
    <mergeCell ref="B38:L38"/>
    <mergeCell ref="B2:C3"/>
    <mergeCell ref="D2:F2"/>
    <mergeCell ref="G2:I2"/>
    <mergeCell ref="J2:L2"/>
    <mergeCell ref="B22:L22"/>
    <mergeCell ref="B37:L37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Príjmy</vt:lpstr>
      <vt:lpstr>Výdavky</vt:lpstr>
      <vt:lpstr>Sumarizácia</vt:lpstr>
      <vt:lpstr>Príjmy viacročný</vt:lpstr>
      <vt:lpstr>Výdavky viacročný</vt:lpstr>
      <vt:lpstr>Sumarizácia viacročná</vt:lpstr>
      <vt:lpstr>Príjmy!Oblasť_tlače</vt:lpstr>
      <vt:lpstr>'Príjmy viacročný'!Oblasť_tlače</vt:lpstr>
      <vt:lpstr>Sumarizácia!Oblasť_tlače</vt:lpstr>
      <vt:lpstr>'Sumarizácia viacročná'!Oblasť_tlače</vt:lpstr>
      <vt:lpstr>Výdavky!Oblasť_tlače</vt:lpstr>
      <vt:lpstr>'Výdavky viacročný'!Oblasť_tlače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Žilková Andrea, Ing.</cp:lastModifiedBy>
  <cp:lastPrinted>2016-12-22T08:08:08Z</cp:lastPrinted>
  <dcterms:created xsi:type="dcterms:W3CDTF">2016-08-17T12:35:47Z</dcterms:created>
  <dcterms:modified xsi:type="dcterms:W3CDTF">2016-12-22T13:44:44Z</dcterms:modified>
</cp:coreProperties>
</file>