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6\Záverečný účet 2016\"/>
    </mc:Choice>
  </mc:AlternateContent>
  <bookViews>
    <workbookView xWindow="0" yWindow="0" windowWidth="18720" windowHeight="10440" tabRatio="984"/>
  </bookViews>
  <sheets>
    <sheet name="Príjmy" sheetId="2" r:id="rId1"/>
    <sheet name="P1" sheetId="9" r:id="rId2"/>
    <sheet name="P2" sheetId="10" r:id="rId3"/>
    <sheet name="P3" sheetId="11" r:id="rId4"/>
    <sheet name="P4" sheetId="12" r:id="rId5"/>
    <sheet name="P5" sheetId="13" r:id="rId6"/>
    <sheet name="P6" sheetId="14" r:id="rId7"/>
    <sheet name="P7" sheetId="15" r:id="rId8"/>
    <sheet name="P8" sheetId="16" r:id="rId9"/>
    <sheet name="P9" sheetId="17" r:id="rId10"/>
    <sheet name="P10" sheetId="18" r:id="rId11"/>
    <sheet name="P11" sheetId="19" r:id="rId12"/>
    <sheet name="P12" sheetId="7" r:id="rId13"/>
    <sheet name="Sumarizácia" sheetId="8" r:id="rId14"/>
  </sheets>
  <definedNames>
    <definedName name="Data">#REF!</definedName>
    <definedName name="Gatl">#REF!</definedName>
    <definedName name="_xlnm.Print_Area" localSheetId="12">'P1'!$B$3:$O$72</definedName>
    <definedName name="_xlnm.Print_Area" localSheetId="8">'P8'!$B$4:$Q$132</definedName>
    <definedName name="_xlnm.Print_Area" localSheetId="0">Príjmy!$B$3:$J$462</definedName>
    <definedName name="_xlnm.Print_Area" localSheetId="13">Sumarizácia!$B$2:$L$37</definedName>
  </definedNames>
  <calcPr calcId="152511"/>
</workbook>
</file>

<file path=xl/calcChain.xml><?xml version="1.0" encoding="utf-8"?>
<calcChain xmlns="http://schemas.openxmlformats.org/spreadsheetml/2006/main">
  <c r="J64" i="16" l="1"/>
  <c r="N800" i="15" l="1"/>
  <c r="N778" i="15"/>
  <c r="N777" i="15"/>
  <c r="N703" i="15"/>
  <c r="N685" i="15"/>
  <c r="N568" i="15"/>
  <c r="N462" i="15"/>
  <c r="N461" i="15"/>
  <c r="N406" i="15"/>
  <c r="N379" i="15"/>
  <c r="N376" i="15"/>
  <c r="N375" i="15"/>
  <c r="N373" i="15"/>
  <c r="N346" i="15"/>
  <c r="N294" i="15"/>
  <c r="N293" i="15"/>
  <c r="N292" i="15"/>
  <c r="N291" i="15"/>
  <c r="N288" i="15"/>
  <c r="N206" i="15"/>
  <c r="N238" i="15"/>
  <c r="N177" i="15"/>
  <c r="N165" i="15"/>
  <c r="N152" i="15"/>
  <c r="N150" i="15"/>
  <c r="N107" i="16"/>
  <c r="N105" i="16"/>
  <c r="N80" i="16"/>
  <c r="N79" i="16"/>
  <c r="N56" i="16"/>
  <c r="N55" i="16"/>
  <c r="N54" i="16"/>
  <c r="N48" i="16"/>
  <c r="N47" i="16"/>
  <c r="N46" i="16"/>
  <c r="N67" i="17"/>
  <c r="N63" i="17"/>
  <c r="N95" i="18"/>
  <c r="N81" i="18"/>
  <c r="N68" i="18"/>
  <c r="N61" i="18"/>
  <c r="N27" i="18"/>
  <c r="N26" i="18"/>
  <c r="N25" i="18"/>
  <c r="N117" i="19"/>
  <c r="N85" i="19"/>
  <c r="N84" i="19"/>
  <c r="N83" i="19"/>
  <c r="N22" i="19"/>
  <c r="J14" i="10" l="1"/>
  <c r="J15" i="10"/>
  <c r="I114" i="2" l="1"/>
  <c r="P233" i="15" l="1"/>
  <c r="J181" i="15"/>
  <c r="J156" i="15"/>
  <c r="M151" i="15"/>
  <c r="N151" i="15" s="1"/>
  <c r="L151" i="15"/>
  <c r="P515" i="15" l="1"/>
  <c r="J304" i="15"/>
  <c r="J296" i="15"/>
  <c r="J293" i="15" s="1"/>
  <c r="J253" i="15" l="1"/>
  <c r="J244" i="15"/>
  <c r="P247" i="15"/>
  <c r="J241" i="15" l="1"/>
  <c r="J393" i="15"/>
  <c r="J762" i="15"/>
  <c r="M770" i="15"/>
  <c r="M759" i="15" s="1"/>
  <c r="L770" i="15"/>
  <c r="J770" i="15"/>
  <c r="M393" i="15"/>
  <c r="L393" i="15"/>
  <c r="J384" i="15"/>
  <c r="I318" i="2"/>
  <c r="J381" i="15" l="1"/>
  <c r="J813" i="15"/>
  <c r="M449" i="15"/>
  <c r="L449" i="15"/>
  <c r="J449" i="15"/>
  <c r="J439" i="15"/>
  <c r="J436" i="15" s="1"/>
  <c r="I304" i="2" l="1"/>
  <c r="M792" i="15" l="1"/>
  <c r="L792" i="15"/>
  <c r="J792" i="15"/>
  <c r="J424" i="15"/>
  <c r="J477" i="15" l="1"/>
  <c r="J476" i="15"/>
  <c r="I263" i="2"/>
  <c r="I266" i="2"/>
  <c r="I260" i="2"/>
  <c r="I97" i="2" l="1"/>
  <c r="I96" i="2" s="1"/>
  <c r="I76" i="2"/>
  <c r="I75" i="2" s="1"/>
  <c r="I73" i="2" s="1"/>
  <c r="I94" i="2"/>
  <c r="H94" i="2"/>
  <c r="J43" i="18" l="1"/>
  <c r="J50" i="18"/>
  <c r="J45" i="18"/>
  <c r="J55" i="18"/>
  <c r="J37" i="18"/>
  <c r="J36" i="18"/>
  <c r="J35" i="18"/>
  <c r="J34" i="18"/>
  <c r="J33" i="18"/>
  <c r="J30" i="18"/>
  <c r="J29" i="18"/>
  <c r="J54" i="17"/>
  <c r="J118" i="16"/>
  <c r="J90" i="16"/>
  <c r="J89" i="16"/>
  <c r="J88" i="16"/>
  <c r="J85" i="16"/>
  <c r="J55" i="12"/>
  <c r="I241" i="2"/>
  <c r="I240" i="2" s="1"/>
  <c r="M82" i="19"/>
  <c r="I237" i="2"/>
  <c r="H237" i="2"/>
  <c r="H236" i="2" s="1"/>
  <c r="I215" i="2"/>
  <c r="I214" i="2" s="1"/>
  <c r="H215" i="2"/>
  <c r="H214" i="2" s="1"/>
  <c r="H240" i="2"/>
  <c r="J150" i="19"/>
  <c r="M116" i="19"/>
  <c r="N116" i="19" s="1"/>
  <c r="L116" i="19"/>
  <c r="L115" i="19" s="1"/>
  <c r="M115" i="19" l="1"/>
  <c r="N115" i="19" s="1"/>
  <c r="I236" i="2"/>
  <c r="J66" i="11" l="1"/>
  <c r="I60" i="2"/>
  <c r="I383" i="2" l="1"/>
  <c r="I56" i="2"/>
  <c r="J63" i="19" l="1"/>
  <c r="J66" i="19"/>
  <c r="J69" i="19"/>
  <c r="K69" i="19" s="1"/>
  <c r="J65" i="19"/>
  <c r="K65" i="19" s="1"/>
  <c r="J68" i="19"/>
  <c r="J62" i="19"/>
  <c r="J67" i="19"/>
  <c r="P67" i="19" s="1"/>
  <c r="J64" i="19"/>
  <c r="K64" i="19" s="1"/>
  <c r="P156" i="19"/>
  <c r="I156" i="19"/>
  <c r="P155" i="19"/>
  <c r="O155" i="19"/>
  <c r="K155" i="19"/>
  <c r="P154" i="19"/>
  <c r="I154" i="19"/>
  <c r="O154" i="19" s="1"/>
  <c r="P153" i="19"/>
  <c r="Q153" i="19" s="1"/>
  <c r="O153" i="19"/>
  <c r="K153" i="19"/>
  <c r="P152" i="19"/>
  <c r="O152" i="19"/>
  <c r="K152" i="19"/>
  <c r="P151" i="19"/>
  <c r="O151" i="19"/>
  <c r="K151" i="19"/>
  <c r="M150" i="19"/>
  <c r="L150" i="19"/>
  <c r="J147" i="19"/>
  <c r="P147" i="19" s="1"/>
  <c r="P149" i="19"/>
  <c r="I149" i="19"/>
  <c r="O149" i="19" s="1"/>
  <c r="P148" i="19"/>
  <c r="I148" i="19"/>
  <c r="O148" i="19" s="1"/>
  <c r="M146" i="19"/>
  <c r="L146" i="19"/>
  <c r="P145" i="19"/>
  <c r="O145" i="19"/>
  <c r="K145" i="19"/>
  <c r="P144" i="19"/>
  <c r="O144" i="19"/>
  <c r="K144" i="19"/>
  <c r="P143" i="19"/>
  <c r="Q143" i="19" s="1"/>
  <c r="O143" i="19"/>
  <c r="K143" i="19"/>
  <c r="P142" i="19"/>
  <c r="O142" i="19"/>
  <c r="K142" i="19"/>
  <c r="J141" i="19"/>
  <c r="P141" i="19" s="1"/>
  <c r="I141" i="19"/>
  <c r="O141" i="19" s="1"/>
  <c r="P140" i="19"/>
  <c r="I140" i="19"/>
  <c r="P139" i="19"/>
  <c r="O139" i="19"/>
  <c r="K139" i="19"/>
  <c r="M138" i="19"/>
  <c r="M137" i="19" s="1"/>
  <c r="L138" i="19"/>
  <c r="L137" i="19" s="1"/>
  <c r="P136" i="19"/>
  <c r="I136" i="19"/>
  <c r="O136" i="19" s="1"/>
  <c r="M135" i="19"/>
  <c r="L135" i="19"/>
  <c r="J135" i="19"/>
  <c r="P134" i="19"/>
  <c r="O134" i="19"/>
  <c r="K134" i="19"/>
  <c r="P133" i="19"/>
  <c r="I133" i="19"/>
  <c r="O133" i="19" s="1"/>
  <c r="M132" i="19"/>
  <c r="L132" i="19"/>
  <c r="J132" i="19"/>
  <c r="P132" i="19" s="1"/>
  <c r="L131" i="19"/>
  <c r="P130" i="19"/>
  <c r="I130" i="19"/>
  <c r="O130" i="19" s="1"/>
  <c r="M129" i="19"/>
  <c r="M128" i="19" s="1"/>
  <c r="L129" i="19"/>
  <c r="L128" i="19" s="1"/>
  <c r="J129" i="19"/>
  <c r="J128" i="19" s="1"/>
  <c r="P128" i="19" s="1"/>
  <c r="P127" i="19"/>
  <c r="I127" i="19"/>
  <c r="O127" i="19" s="1"/>
  <c r="P126" i="19"/>
  <c r="I126" i="19"/>
  <c r="K126" i="19" s="1"/>
  <c r="P125" i="19"/>
  <c r="I125" i="19"/>
  <c r="O125" i="19" s="1"/>
  <c r="P124" i="19"/>
  <c r="I124" i="19"/>
  <c r="O124" i="19" s="1"/>
  <c r="P123" i="19"/>
  <c r="O123" i="19"/>
  <c r="K123" i="19"/>
  <c r="M122" i="19"/>
  <c r="L122" i="19"/>
  <c r="L119" i="19" s="1"/>
  <c r="L118" i="19" s="1"/>
  <c r="J122" i="19"/>
  <c r="P121" i="19"/>
  <c r="I121" i="19"/>
  <c r="K121" i="19" s="1"/>
  <c r="P120" i="19"/>
  <c r="I120" i="19"/>
  <c r="O120" i="19" s="1"/>
  <c r="M119" i="19"/>
  <c r="M118" i="19" s="1"/>
  <c r="P117" i="19"/>
  <c r="O117" i="19"/>
  <c r="J115" i="19"/>
  <c r="I115" i="19"/>
  <c r="P114" i="19"/>
  <c r="I114" i="19"/>
  <c r="O114" i="19" s="1"/>
  <c r="P113" i="19"/>
  <c r="I113" i="19"/>
  <c r="O113" i="19" s="1"/>
  <c r="P112" i="19"/>
  <c r="O112" i="19"/>
  <c r="K112" i="19"/>
  <c r="P111" i="19"/>
  <c r="O111" i="19"/>
  <c r="K111" i="19"/>
  <c r="P110" i="19"/>
  <c r="O110" i="19"/>
  <c r="K110" i="19"/>
  <c r="P109" i="19"/>
  <c r="O109" i="19"/>
  <c r="K109" i="19"/>
  <c r="P108" i="19"/>
  <c r="O108" i="19"/>
  <c r="K108" i="19"/>
  <c r="M107" i="19"/>
  <c r="L107" i="19"/>
  <c r="J107" i="19"/>
  <c r="P106" i="19"/>
  <c r="I106" i="19"/>
  <c r="K106" i="19" s="1"/>
  <c r="P105" i="19"/>
  <c r="I105" i="19"/>
  <c r="O105" i="19" s="1"/>
  <c r="P103" i="19"/>
  <c r="I103" i="19"/>
  <c r="J102" i="19"/>
  <c r="P101" i="19"/>
  <c r="O101" i="19"/>
  <c r="K101" i="19"/>
  <c r="P100" i="19"/>
  <c r="O100" i="19"/>
  <c r="K100" i="19"/>
  <c r="M99" i="19"/>
  <c r="L99" i="19"/>
  <c r="J99" i="19"/>
  <c r="I99" i="19"/>
  <c r="P98" i="19"/>
  <c r="O98" i="19"/>
  <c r="K98" i="19"/>
  <c r="P96" i="19"/>
  <c r="O96" i="19"/>
  <c r="K96" i="19"/>
  <c r="P95" i="19"/>
  <c r="I95" i="19"/>
  <c r="O95" i="19" s="1"/>
  <c r="P94" i="19"/>
  <c r="O94" i="19"/>
  <c r="K94" i="19"/>
  <c r="P93" i="19"/>
  <c r="O93" i="19"/>
  <c r="K93" i="19"/>
  <c r="M92" i="19"/>
  <c r="M91" i="19" s="1"/>
  <c r="L92" i="19"/>
  <c r="L91" i="19" s="1"/>
  <c r="J92" i="19"/>
  <c r="J91" i="19" s="1"/>
  <c r="P90" i="19"/>
  <c r="O90" i="19"/>
  <c r="K90" i="19"/>
  <c r="P89" i="19"/>
  <c r="O89" i="19"/>
  <c r="K89" i="19"/>
  <c r="P88" i="19"/>
  <c r="O88" i="19"/>
  <c r="K88" i="19"/>
  <c r="M87" i="19"/>
  <c r="L87" i="19"/>
  <c r="J87" i="19"/>
  <c r="I87" i="19"/>
  <c r="P85" i="19"/>
  <c r="O85" i="19"/>
  <c r="P84" i="19"/>
  <c r="O84" i="19"/>
  <c r="P83" i="19"/>
  <c r="O83" i="19"/>
  <c r="L82" i="19"/>
  <c r="J82" i="19"/>
  <c r="I82" i="19"/>
  <c r="P81" i="19"/>
  <c r="I81" i="19"/>
  <c r="K81" i="19" s="1"/>
  <c r="P80" i="19"/>
  <c r="I80" i="19"/>
  <c r="P79" i="19"/>
  <c r="I79" i="19"/>
  <c r="K79" i="19" s="1"/>
  <c r="P78" i="19"/>
  <c r="I78" i="19"/>
  <c r="P77" i="19"/>
  <c r="I77" i="19"/>
  <c r="K77" i="19" s="1"/>
  <c r="P76" i="19"/>
  <c r="I76" i="19"/>
  <c r="P75" i="19"/>
  <c r="O75" i="19"/>
  <c r="K75" i="19"/>
  <c r="M74" i="19"/>
  <c r="L74" i="19"/>
  <c r="J74" i="19"/>
  <c r="P73" i="19"/>
  <c r="O73" i="19"/>
  <c r="K73" i="19"/>
  <c r="P72" i="19"/>
  <c r="I72" i="19"/>
  <c r="O72" i="19" s="1"/>
  <c r="M71" i="19"/>
  <c r="P69" i="19"/>
  <c r="O69" i="19"/>
  <c r="P68" i="19"/>
  <c r="O68" i="19"/>
  <c r="K68" i="19"/>
  <c r="O67" i="19"/>
  <c r="P66" i="19"/>
  <c r="O66" i="19"/>
  <c r="K66" i="19"/>
  <c r="O65" i="19"/>
  <c r="O64" i="19"/>
  <c r="P63" i="19"/>
  <c r="O63" i="19"/>
  <c r="K63" i="19"/>
  <c r="P62" i="19"/>
  <c r="O62" i="19"/>
  <c r="K62" i="19"/>
  <c r="P61" i="19"/>
  <c r="O61" i="19"/>
  <c r="K61" i="19"/>
  <c r="P60" i="19"/>
  <c r="O60" i="19"/>
  <c r="K60" i="19"/>
  <c r="P59" i="19"/>
  <c r="I59" i="19"/>
  <c r="O59" i="19" s="1"/>
  <c r="P56" i="19"/>
  <c r="O56" i="19"/>
  <c r="K56" i="19"/>
  <c r="P55" i="19"/>
  <c r="O55" i="19"/>
  <c r="Q55" i="19" s="1"/>
  <c r="K55" i="19"/>
  <c r="P54" i="19"/>
  <c r="O54" i="19"/>
  <c r="K54" i="19"/>
  <c r="M53" i="19"/>
  <c r="M52" i="19" s="1"/>
  <c r="L53" i="19"/>
  <c r="L52" i="19" s="1"/>
  <c r="J53" i="19"/>
  <c r="I53" i="19"/>
  <c r="P50" i="19"/>
  <c r="I50" i="19"/>
  <c r="O50" i="19" s="1"/>
  <c r="P49" i="19"/>
  <c r="I49" i="19"/>
  <c r="K49" i="19" s="1"/>
  <c r="P48" i="19"/>
  <c r="I48" i="19"/>
  <c r="K48" i="19" s="1"/>
  <c r="P47" i="19"/>
  <c r="I47" i="19"/>
  <c r="K47" i="19" s="1"/>
  <c r="P46" i="19"/>
  <c r="I46" i="19"/>
  <c r="O46" i="19" s="1"/>
  <c r="M45" i="19"/>
  <c r="M42" i="19" s="1"/>
  <c r="M41" i="19" s="1"/>
  <c r="L45" i="19"/>
  <c r="L42" i="19" s="1"/>
  <c r="L41" i="19" s="1"/>
  <c r="J45" i="19"/>
  <c r="J42" i="19" s="1"/>
  <c r="P44" i="19"/>
  <c r="I44" i="19"/>
  <c r="P43" i="19"/>
  <c r="I43" i="19"/>
  <c r="O43" i="19" s="1"/>
  <c r="P40" i="19"/>
  <c r="O40" i="19"/>
  <c r="K40" i="19"/>
  <c r="P39" i="19"/>
  <c r="O39" i="19"/>
  <c r="K39" i="19"/>
  <c r="P38" i="19"/>
  <c r="I38" i="19"/>
  <c r="P37" i="19"/>
  <c r="I37" i="19"/>
  <c r="O37" i="19" s="1"/>
  <c r="P36" i="19"/>
  <c r="I36" i="19"/>
  <c r="P35" i="19"/>
  <c r="I35" i="19"/>
  <c r="O35" i="19" s="1"/>
  <c r="P34" i="19"/>
  <c r="I34" i="19"/>
  <c r="P33" i="19"/>
  <c r="I33" i="19"/>
  <c r="O33" i="19" s="1"/>
  <c r="P32" i="19"/>
  <c r="I32" i="19"/>
  <c r="J31" i="19"/>
  <c r="P31" i="19" s="1"/>
  <c r="P30" i="19"/>
  <c r="I30" i="19"/>
  <c r="O30" i="19" s="1"/>
  <c r="P29" i="19"/>
  <c r="I29" i="19"/>
  <c r="O29" i="19" s="1"/>
  <c r="P28" i="19"/>
  <c r="O28" i="19"/>
  <c r="K28" i="19"/>
  <c r="P25" i="19"/>
  <c r="I25" i="19"/>
  <c r="M24" i="19"/>
  <c r="L24" i="19"/>
  <c r="J24" i="19"/>
  <c r="P23" i="19"/>
  <c r="O23" i="19"/>
  <c r="P22" i="19"/>
  <c r="O22" i="19"/>
  <c r="M21" i="19"/>
  <c r="L21" i="19"/>
  <c r="O21" i="19" s="1"/>
  <c r="J20" i="19"/>
  <c r="I20" i="19"/>
  <c r="P19" i="19"/>
  <c r="I19" i="19"/>
  <c r="O19" i="19" s="1"/>
  <c r="P18" i="19"/>
  <c r="I18" i="19"/>
  <c r="K18" i="19" s="1"/>
  <c r="P17" i="19"/>
  <c r="I17" i="19"/>
  <c r="P16" i="19"/>
  <c r="I16" i="19"/>
  <c r="O16" i="19" s="1"/>
  <c r="P15" i="19"/>
  <c r="I15" i="19"/>
  <c r="O15" i="19" s="1"/>
  <c r="M14" i="19"/>
  <c r="L14" i="19"/>
  <c r="J14" i="19"/>
  <c r="J11" i="19" s="1"/>
  <c r="J10" i="19" s="1"/>
  <c r="P13" i="19"/>
  <c r="O13" i="19"/>
  <c r="K13" i="19"/>
  <c r="P12" i="19"/>
  <c r="Q12" i="19" s="1"/>
  <c r="I12" i="19"/>
  <c r="O12" i="19" s="1"/>
  <c r="B9" i="19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J74" i="18"/>
  <c r="M24" i="18"/>
  <c r="P24" i="18" s="1"/>
  <c r="P107" i="18"/>
  <c r="I107" i="18"/>
  <c r="O107" i="18" s="1"/>
  <c r="P106" i="18"/>
  <c r="I106" i="18"/>
  <c r="O106" i="18" s="1"/>
  <c r="P105" i="18"/>
  <c r="I105" i="18"/>
  <c r="O105" i="18" s="1"/>
  <c r="P104" i="18"/>
  <c r="O104" i="18"/>
  <c r="K104" i="18"/>
  <c r="P103" i="18"/>
  <c r="I103" i="18"/>
  <c r="P102" i="18"/>
  <c r="O102" i="18"/>
  <c r="K102" i="18"/>
  <c r="P101" i="18"/>
  <c r="O101" i="18"/>
  <c r="K101" i="18"/>
  <c r="M100" i="18"/>
  <c r="L100" i="18"/>
  <c r="J100" i="18"/>
  <c r="P99" i="18"/>
  <c r="I99" i="18"/>
  <c r="O99" i="18" s="1"/>
  <c r="P98" i="18"/>
  <c r="I98" i="18"/>
  <c r="O98" i="18" s="1"/>
  <c r="M96" i="18"/>
  <c r="L96" i="18"/>
  <c r="P95" i="18"/>
  <c r="O95" i="18"/>
  <c r="M94" i="18"/>
  <c r="L94" i="18"/>
  <c r="O94" i="18" s="1"/>
  <c r="P92" i="18"/>
  <c r="O92" i="18"/>
  <c r="K92" i="18"/>
  <c r="P91" i="18"/>
  <c r="I91" i="18"/>
  <c r="K91" i="18" s="1"/>
  <c r="P90" i="18"/>
  <c r="O90" i="18"/>
  <c r="K90" i="18"/>
  <c r="M89" i="18"/>
  <c r="L89" i="18"/>
  <c r="J89" i="18"/>
  <c r="J86" i="18" s="1"/>
  <c r="J85" i="18" s="1"/>
  <c r="P88" i="18"/>
  <c r="O88" i="18"/>
  <c r="K88" i="18"/>
  <c r="P87" i="18"/>
  <c r="O87" i="18"/>
  <c r="K87" i="18"/>
  <c r="P84" i="18"/>
  <c r="O84" i="18"/>
  <c r="K84" i="18"/>
  <c r="M83" i="18"/>
  <c r="M82" i="18" s="1"/>
  <c r="M77" i="18" s="1"/>
  <c r="L83" i="18"/>
  <c r="O83" i="18" s="1"/>
  <c r="J83" i="18"/>
  <c r="I82" i="18"/>
  <c r="P81" i="18"/>
  <c r="O81" i="18"/>
  <c r="M80" i="18"/>
  <c r="L80" i="18"/>
  <c r="P78" i="18"/>
  <c r="O78" i="18"/>
  <c r="K78" i="18"/>
  <c r="J77" i="18"/>
  <c r="I77" i="18"/>
  <c r="P76" i="18"/>
  <c r="O76" i="18"/>
  <c r="K76" i="18"/>
  <c r="P75" i="18"/>
  <c r="O75" i="18"/>
  <c r="K75" i="18"/>
  <c r="P74" i="18"/>
  <c r="I74" i="18"/>
  <c r="M73" i="18"/>
  <c r="L73" i="18"/>
  <c r="J73" i="18"/>
  <c r="P72" i="18"/>
  <c r="I72" i="18"/>
  <c r="O72" i="18" s="1"/>
  <c r="P71" i="18"/>
  <c r="O71" i="18"/>
  <c r="K71" i="18"/>
  <c r="M70" i="18"/>
  <c r="L70" i="18"/>
  <c r="J70" i="18"/>
  <c r="P68" i="18"/>
  <c r="O68" i="18"/>
  <c r="M67" i="18"/>
  <c r="L67" i="18"/>
  <c r="P65" i="18"/>
  <c r="O65" i="18"/>
  <c r="K65" i="18"/>
  <c r="M64" i="18"/>
  <c r="L64" i="18"/>
  <c r="J64" i="18"/>
  <c r="J63" i="18" s="1"/>
  <c r="I64" i="18"/>
  <c r="P62" i="18"/>
  <c r="L62" i="18"/>
  <c r="P61" i="18"/>
  <c r="O61" i="18"/>
  <c r="P60" i="18"/>
  <c r="I60" i="18"/>
  <c r="M59" i="18"/>
  <c r="L59" i="18"/>
  <c r="J59" i="18"/>
  <c r="M58" i="18"/>
  <c r="P55" i="18"/>
  <c r="O55" i="18"/>
  <c r="K55" i="18"/>
  <c r="P53" i="18"/>
  <c r="O53" i="18"/>
  <c r="K53" i="18"/>
  <c r="P52" i="18"/>
  <c r="O52" i="18"/>
  <c r="K52" i="18"/>
  <c r="P51" i="18"/>
  <c r="O51" i="18"/>
  <c r="K51" i="18"/>
  <c r="P50" i="18"/>
  <c r="I50" i="18"/>
  <c r="O50" i="18" s="1"/>
  <c r="P49" i="18"/>
  <c r="O49" i="18"/>
  <c r="K49" i="18"/>
  <c r="P48" i="18"/>
  <c r="O48" i="18"/>
  <c r="K48" i="18"/>
  <c r="P47" i="18"/>
  <c r="O47" i="18"/>
  <c r="K47" i="18"/>
  <c r="P46" i="18"/>
  <c r="O46" i="18"/>
  <c r="K46" i="18"/>
  <c r="P45" i="18"/>
  <c r="I45" i="18"/>
  <c r="K45" i="18" s="1"/>
  <c r="P44" i="18"/>
  <c r="O44" i="18"/>
  <c r="K44" i="18"/>
  <c r="P43" i="18"/>
  <c r="I43" i="18"/>
  <c r="O43" i="18" s="1"/>
  <c r="M42" i="18"/>
  <c r="L42" i="18"/>
  <c r="J42" i="18"/>
  <c r="P41" i="18"/>
  <c r="I41" i="18"/>
  <c r="K41" i="18" s="1"/>
  <c r="P40" i="18"/>
  <c r="O40" i="18"/>
  <c r="K40" i="18"/>
  <c r="P38" i="18"/>
  <c r="I38" i="18"/>
  <c r="K38" i="18" s="1"/>
  <c r="P37" i="18"/>
  <c r="I37" i="18"/>
  <c r="P36" i="18"/>
  <c r="I36" i="18"/>
  <c r="K36" i="18" s="1"/>
  <c r="P35" i="18"/>
  <c r="O35" i="18"/>
  <c r="K35" i="18"/>
  <c r="P34" i="18"/>
  <c r="I34" i="18"/>
  <c r="O34" i="18" s="1"/>
  <c r="P33" i="18"/>
  <c r="O33" i="18"/>
  <c r="K33" i="18"/>
  <c r="P32" i="18"/>
  <c r="O32" i="18"/>
  <c r="K32" i="18"/>
  <c r="M31" i="18"/>
  <c r="L31" i="18"/>
  <c r="J31" i="18"/>
  <c r="P30" i="18"/>
  <c r="I30" i="18"/>
  <c r="O30" i="18" s="1"/>
  <c r="P29" i="18"/>
  <c r="I29" i="18"/>
  <c r="P27" i="18"/>
  <c r="O27" i="18"/>
  <c r="P26" i="18"/>
  <c r="O26" i="18"/>
  <c r="P25" i="18"/>
  <c r="O25" i="18"/>
  <c r="P22" i="18"/>
  <c r="L22" i="18"/>
  <c r="L21" i="18" s="1"/>
  <c r="L20" i="18" s="1"/>
  <c r="O20" i="18" s="1"/>
  <c r="M21" i="18"/>
  <c r="P19" i="18"/>
  <c r="I19" i="18"/>
  <c r="O19" i="18" s="1"/>
  <c r="P18" i="18"/>
  <c r="I18" i="18"/>
  <c r="K18" i="18" s="1"/>
  <c r="P17" i="18"/>
  <c r="I17" i="18"/>
  <c r="P16" i="18"/>
  <c r="I16" i="18"/>
  <c r="K16" i="18" s="1"/>
  <c r="J15" i="18"/>
  <c r="P15" i="18" s="1"/>
  <c r="P14" i="18"/>
  <c r="O14" i="18"/>
  <c r="K14" i="18"/>
  <c r="P13" i="18"/>
  <c r="I13" i="18"/>
  <c r="O13" i="18" s="1"/>
  <c r="J12" i="18"/>
  <c r="P12" i="18" s="1"/>
  <c r="B10" i="18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M66" i="17"/>
  <c r="N66" i="17" s="1"/>
  <c r="J24" i="17"/>
  <c r="P21" i="19" l="1"/>
  <c r="N21" i="19"/>
  <c r="K35" i="19"/>
  <c r="N71" i="19"/>
  <c r="I150" i="19"/>
  <c r="L71" i="19"/>
  <c r="L70" i="19" s="1"/>
  <c r="N82" i="19"/>
  <c r="O38" i="18"/>
  <c r="L82" i="18"/>
  <c r="L77" i="18" s="1"/>
  <c r="M23" i="18"/>
  <c r="P23" i="18"/>
  <c r="M20" i="18"/>
  <c r="N20" i="18" s="1"/>
  <c r="N21" i="18"/>
  <c r="O41" i="18"/>
  <c r="Q48" i="18"/>
  <c r="P67" i="18"/>
  <c r="N67" i="18"/>
  <c r="P80" i="18"/>
  <c r="N80" i="18"/>
  <c r="O22" i="18"/>
  <c r="Q22" i="18" s="1"/>
  <c r="N22" i="18"/>
  <c r="Q55" i="18"/>
  <c r="P83" i="18"/>
  <c r="Q83" i="18" s="1"/>
  <c r="N94" i="18"/>
  <c r="O62" i="18"/>
  <c r="N62" i="18"/>
  <c r="Q50" i="18"/>
  <c r="B106" i="19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K16" i="19"/>
  <c r="O47" i="19"/>
  <c r="Q47" i="19" s="1"/>
  <c r="K99" i="19"/>
  <c r="O121" i="19"/>
  <c r="Q121" i="19" s="1"/>
  <c r="Q22" i="19"/>
  <c r="K29" i="19"/>
  <c r="K43" i="19"/>
  <c r="K46" i="19"/>
  <c r="Q68" i="19"/>
  <c r="Q88" i="19"/>
  <c r="K114" i="19"/>
  <c r="O126" i="19"/>
  <c r="Q126" i="19" s="1"/>
  <c r="K30" i="19"/>
  <c r="O79" i="19"/>
  <c r="Q79" i="19" s="1"/>
  <c r="Q50" i="19"/>
  <c r="P65" i="19"/>
  <c r="Q65" i="19" s="1"/>
  <c r="Q155" i="19"/>
  <c r="Q149" i="19"/>
  <c r="Q144" i="19"/>
  <c r="Q21" i="19"/>
  <c r="Q28" i="19"/>
  <c r="K50" i="19"/>
  <c r="P64" i="19"/>
  <c r="Q64" i="19" s="1"/>
  <c r="P82" i="19"/>
  <c r="M86" i="19"/>
  <c r="I92" i="19"/>
  <c r="O92" i="19" s="1"/>
  <c r="K105" i="19"/>
  <c r="Q109" i="19"/>
  <c r="K125" i="19"/>
  <c r="K149" i="19"/>
  <c r="Q67" i="19"/>
  <c r="Q84" i="19"/>
  <c r="I122" i="19"/>
  <c r="K122" i="19" s="1"/>
  <c r="K124" i="19"/>
  <c r="Q145" i="19"/>
  <c r="K127" i="19"/>
  <c r="J131" i="19"/>
  <c r="Q98" i="19"/>
  <c r="Q89" i="19"/>
  <c r="Q60" i="19"/>
  <c r="J58" i="19"/>
  <c r="P58" i="19" s="1"/>
  <c r="K67" i="19"/>
  <c r="Q54" i="19"/>
  <c r="Q19" i="19"/>
  <c r="J27" i="19"/>
  <c r="Q56" i="19"/>
  <c r="K59" i="19"/>
  <c r="Q61" i="19"/>
  <c r="Q73" i="19"/>
  <c r="I74" i="19"/>
  <c r="O74" i="19" s="1"/>
  <c r="O81" i="19"/>
  <c r="Q81" i="19" s="1"/>
  <c r="Q94" i="19"/>
  <c r="Q96" i="19"/>
  <c r="I107" i="19"/>
  <c r="O107" i="19" s="1"/>
  <c r="Q110" i="19"/>
  <c r="K113" i="19"/>
  <c r="K133" i="19"/>
  <c r="Q134" i="19"/>
  <c r="K148" i="19"/>
  <c r="O99" i="19"/>
  <c r="P129" i="19"/>
  <c r="P135" i="19"/>
  <c r="P150" i="19"/>
  <c r="M104" i="19"/>
  <c r="I58" i="19"/>
  <c r="O58" i="19" s="1"/>
  <c r="P74" i="19"/>
  <c r="Q15" i="19"/>
  <c r="O18" i="19"/>
  <c r="Q18" i="19" s="1"/>
  <c r="Q39" i="19"/>
  <c r="Q43" i="19"/>
  <c r="Q62" i="19"/>
  <c r="Q63" i="19"/>
  <c r="Q69" i="19"/>
  <c r="O77" i="19"/>
  <c r="Q77" i="19" s="1"/>
  <c r="Q101" i="19"/>
  <c r="O106" i="19"/>
  <c r="Q111" i="19"/>
  <c r="Q112" i="19"/>
  <c r="Q117" i="19"/>
  <c r="K120" i="19"/>
  <c r="M131" i="19"/>
  <c r="Q142" i="19"/>
  <c r="Q151" i="19"/>
  <c r="P99" i="19"/>
  <c r="Q13" i="19"/>
  <c r="L20" i="19"/>
  <c r="L11" i="19" s="1"/>
  <c r="L10" i="19" s="1"/>
  <c r="Q29" i="19"/>
  <c r="K33" i="19"/>
  <c r="K37" i="19"/>
  <c r="P45" i="19"/>
  <c r="I45" i="19"/>
  <c r="I42" i="19" s="1"/>
  <c r="K42" i="19" s="1"/>
  <c r="O49" i="19"/>
  <c r="Q49" i="19" s="1"/>
  <c r="J71" i="19"/>
  <c r="K72" i="19"/>
  <c r="Q75" i="19"/>
  <c r="Q90" i="19"/>
  <c r="P92" i="19"/>
  <c r="K95" i="19"/>
  <c r="Q106" i="19"/>
  <c r="Q108" i="19"/>
  <c r="Q114" i="19"/>
  <c r="Q120" i="19"/>
  <c r="Q123" i="19"/>
  <c r="Q124" i="19"/>
  <c r="K130" i="19"/>
  <c r="I132" i="19"/>
  <c r="Q133" i="19"/>
  <c r="K136" i="19"/>
  <c r="K141" i="19"/>
  <c r="K154" i="19"/>
  <c r="P14" i="19"/>
  <c r="Q16" i="19"/>
  <c r="M20" i="19"/>
  <c r="Q23" i="19"/>
  <c r="Q30" i="19"/>
  <c r="Q46" i="19"/>
  <c r="Q59" i="19"/>
  <c r="O82" i="19"/>
  <c r="Q83" i="19"/>
  <c r="Q85" i="19"/>
  <c r="P87" i="19"/>
  <c r="P91" i="19"/>
  <c r="Q100" i="19"/>
  <c r="I104" i="19"/>
  <c r="Q113" i="19"/>
  <c r="I129" i="19"/>
  <c r="I128" i="19" s="1"/>
  <c r="O128" i="19" s="1"/>
  <c r="Q128" i="19" s="1"/>
  <c r="I135" i="19"/>
  <c r="J138" i="19"/>
  <c r="Q148" i="19"/>
  <c r="Q152" i="19"/>
  <c r="Q37" i="19"/>
  <c r="O53" i="19"/>
  <c r="Q66" i="19"/>
  <c r="Q93" i="19"/>
  <c r="Q95" i="19"/>
  <c r="Q139" i="19"/>
  <c r="Q154" i="19"/>
  <c r="K15" i="19"/>
  <c r="I14" i="19"/>
  <c r="O17" i="19"/>
  <c r="Q17" i="19" s="1"/>
  <c r="P24" i="19"/>
  <c r="I24" i="19"/>
  <c r="O24" i="19" s="1"/>
  <c r="O25" i="19"/>
  <c r="Q25" i="19" s="1"/>
  <c r="K25" i="19"/>
  <c r="Q35" i="19"/>
  <c r="O38" i="19"/>
  <c r="Q38" i="19" s="1"/>
  <c r="K38" i="19"/>
  <c r="Q40" i="19"/>
  <c r="P53" i="19"/>
  <c r="K53" i="19"/>
  <c r="J104" i="19"/>
  <c r="P107" i="19"/>
  <c r="O32" i="19"/>
  <c r="Q32" i="19" s="1"/>
  <c r="K32" i="19"/>
  <c r="I31" i="19"/>
  <c r="I27" i="19" s="1"/>
  <c r="O44" i="19"/>
  <c r="Q44" i="19" s="1"/>
  <c r="K44" i="19"/>
  <c r="K12" i="19"/>
  <c r="K17" i="19"/>
  <c r="Q33" i="19"/>
  <c r="O36" i="19"/>
  <c r="Q36" i="19" s="1"/>
  <c r="K36" i="19"/>
  <c r="M70" i="19"/>
  <c r="K19" i="19"/>
  <c r="O34" i="19"/>
  <c r="Q34" i="19" s="1"/>
  <c r="K34" i="19"/>
  <c r="P42" i="19"/>
  <c r="J41" i="19"/>
  <c r="O48" i="19"/>
  <c r="Q48" i="19" s="1"/>
  <c r="O76" i="19"/>
  <c r="Q76" i="19" s="1"/>
  <c r="K76" i="19"/>
  <c r="O80" i="19"/>
  <c r="Q80" i="19" s="1"/>
  <c r="K80" i="19"/>
  <c r="O103" i="19"/>
  <c r="Q103" i="19" s="1"/>
  <c r="K103" i="19"/>
  <c r="I102" i="19"/>
  <c r="Q105" i="19"/>
  <c r="L104" i="19"/>
  <c r="Q125" i="19"/>
  <c r="Q127" i="19"/>
  <c r="Q136" i="19"/>
  <c r="Q72" i="19"/>
  <c r="Q130" i="19"/>
  <c r="O156" i="19"/>
  <c r="Q156" i="19" s="1"/>
  <c r="K156" i="19"/>
  <c r="O78" i="19"/>
  <c r="Q78" i="19" s="1"/>
  <c r="K78" i="19"/>
  <c r="L86" i="19"/>
  <c r="L51" i="19" s="1"/>
  <c r="O87" i="19"/>
  <c r="K102" i="19"/>
  <c r="P115" i="19"/>
  <c r="P116" i="19"/>
  <c r="J119" i="19"/>
  <c r="P122" i="19"/>
  <c r="O140" i="19"/>
  <c r="Q140" i="19" s="1"/>
  <c r="I138" i="19"/>
  <c r="K140" i="19"/>
  <c r="Q141" i="19"/>
  <c r="J86" i="19"/>
  <c r="P102" i="19"/>
  <c r="J146" i="19"/>
  <c r="K87" i="19"/>
  <c r="B41" i="18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J28" i="18"/>
  <c r="J11" i="18" s="1"/>
  <c r="I31" i="18"/>
  <c r="O31" i="18" s="1"/>
  <c r="I70" i="18"/>
  <c r="O70" i="18" s="1"/>
  <c r="I89" i="18"/>
  <c r="I86" i="18" s="1"/>
  <c r="K86" i="18" s="1"/>
  <c r="O91" i="18"/>
  <c r="Q91" i="18" s="1"/>
  <c r="P100" i="18"/>
  <c r="I15" i="18"/>
  <c r="O15" i="18" s="1"/>
  <c r="Q15" i="18" s="1"/>
  <c r="L93" i="18"/>
  <c r="O93" i="18" s="1"/>
  <c r="Q95" i="18"/>
  <c r="Q43" i="18"/>
  <c r="Q47" i="18"/>
  <c r="Q68" i="18"/>
  <c r="Q33" i="18"/>
  <c r="Q81" i="18"/>
  <c r="Q90" i="18"/>
  <c r="O16" i="18"/>
  <c r="Q16" i="18" s="1"/>
  <c r="O21" i="18"/>
  <c r="K30" i="18"/>
  <c r="Q32" i="18"/>
  <c r="Q35" i="18"/>
  <c r="K43" i="18"/>
  <c r="O45" i="18"/>
  <c r="Q51" i="18"/>
  <c r="Q65" i="18"/>
  <c r="O82" i="18"/>
  <c r="Q84" i="18"/>
  <c r="Q49" i="18"/>
  <c r="Q61" i="18"/>
  <c r="Q78" i="18"/>
  <c r="Q13" i="18"/>
  <c r="Q14" i="18"/>
  <c r="O18" i="18"/>
  <c r="Q18" i="18" s="1"/>
  <c r="Q26" i="18"/>
  <c r="Q44" i="18"/>
  <c r="J82" i="18"/>
  <c r="K82" i="18" s="1"/>
  <c r="J97" i="18"/>
  <c r="M11" i="18"/>
  <c r="P20" i="18"/>
  <c r="Q20" i="18" s="1"/>
  <c r="P82" i="18"/>
  <c r="Q30" i="18"/>
  <c r="Q40" i="18"/>
  <c r="Q101" i="18"/>
  <c r="P21" i="18"/>
  <c r="Q25" i="18"/>
  <c r="Q27" i="18"/>
  <c r="K34" i="18"/>
  <c r="O36" i="18"/>
  <c r="Q36" i="18" s="1"/>
  <c r="I42" i="18"/>
  <c r="O42" i="18" s="1"/>
  <c r="L58" i="18"/>
  <c r="N58" i="18" s="1"/>
  <c r="Q75" i="18"/>
  <c r="O77" i="18"/>
  <c r="K83" i="18"/>
  <c r="Q87" i="18"/>
  <c r="K98" i="18"/>
  <c r="K99" i="18"/>
  <c r="K106" i="18"/>
  <c r="K107" i="18"/>
  <c r="Q98" i="18"/>
  <c r="Q106" i="18"/>
  <c r="Q41" i="18"/>
  <c r="Q45" i="18"/>
  <c r="K50" i="18"/>
  <c r="Q52" i="18"/>
  <c r="Q76" i="18"/>
  <c r="Q104" i="18"/>
  <c r="P31" i="18"/>
  <c r="Q31" i="18" s="1"/>
  <c r="P42" i="18"/>
  <c r="Q46" i="18"/>
  <c r="Q53" i="18"/>
  <c r="M66" i="18"/>
  <c r="Q71" i="18"/>
  <c r="P77" i="18"/>
  <c r="P89" i="18"/>
  <c r="Q92" i="18"/>
  <c r="Q99" i="18"/>
  <c r="K105" i="18"/>
  <c r="I12" i="18"/>
  <c r="K13" i="18"/>
  <c r="K17" i="18"/>
  <c r="K19" i="18"/>
  <c r="Q34" i="18"/>
  <c r="Q38" i="18"/>
  <c r="Q62" i="18"/>
  <c r="P64" i="18"/>
  <c r="Q72" i="18"/>
  <c r="O80" i="18"/>
  <c r="Q80" i="18" s="1"/>
  <c r="L79" i="18"/>
  <c r="Q88" i="18"/>
  <c r="P94" i="18"/>
  <c r="Q94" i="18" s="1"/>
  <c r="M93" i="18"/>
  <c r="O29" i="18"/>
  <c r="Q29" i="18" s="1"/>
  <c r="K29" i="18"/>
  <c r="I63" i="18"/>
  <c r="K63" i="18" s="1"/>
  <c r="O64" i="18"/>
  <c r="J69" i="18"/>
  <c r="P70" i="18"/>
  <c r="K70" i="18"/>
  <c r="O17" i="18"/>
  <c r="Q17" i="18" s="1"/>
  <c r="Q19" i="18"/>
  <c r="L24" i="18"/>
  <c r="N24" i="18" s="1"/>
  <c r="J58" i="18"/>
  <c r="P59" i="18"/>
  <c r="I59" i="18"/>
  <c r="O60" i="18"/>
  <c r="Q60" i="18" s="1"/>
  <c r="K60" i="18"/>
  <c r="P73" i="18"/>
  <c r="I73" i="18"/>
  <c r="O74" i="18"/>
  <c r="Q74" i="18" s="1"/>
  <c r="K74" i="18"/>
  <c r="O89" i="18"/>
  <c r="Q102" i="18"/>
  <c r="O37" i="18"/>
  <c r="Q37" i="18" s="1"/>
  <c r="K37" i="18"/>
  <c r="O67" i="18"/>
  <c r="Q67" i="18" s="1"/>
  <c r="L66" i="18"/>
  <c r="O103" i="18"/>
  <c r="Q103" i="18" s="1"/>
  <c r="K103" i="18"/>
  <c r="I100" i="18"/>
  <c r="Q105" i="18"/>
  <c r="Q107" i="18"/>
  <c r="K31" i="18"/>
  <c r="K64" i="18"/>
  <c r="K72" i="18"/>
  <c r="K77" i="18"/>
  <c r="M79" i="18"/>
  <c r="J30" i="17"/>
  <c r="J35" i="17"/>
  <c r="J28" i="17"/>
  <c r="J34" i="17"/>
  <c r="P34" i="17" s="1"/>
  <c r="J27" i="17"/>
  <c r="J39" i="17"/>
  <c r="J31" i="17"/>
  <c r="J29" i="17"/>
  <c r="J26" i="17" s="1"/>
  <c r="P26" i="17" s="1"/>
  <c r="P67" i="17"/>
  <c r="O67" i="17"/>
  <c r="P66" i="17"/>
  <c r="O66" i="17"/>
  <c r="M65" i="17"/>
  <c r="L65" i="17"/>
  <c r="L64" i="17" s="1"/>
  <c r="J65" i="17"/>
  <c r="P65" i="17" s="1"/>
  <c r="I65" i="17"/>
  <c r="I64" i="17" s="1"/>
  <c r="M64" i="17"/>
  <c r="P63" i="17"/>
  <c r="O63" i="17"/>
  <c r="M62" i="17"/>
  <c r="L62" i="17"/>
  <c r="O62" i="17" s="1"/>
  <c r="P60" i="17"/>
  <c r="O60" i="17"/>
  <c r="K60" i="17"/>
  <c r="P59" i="17"/>
  <c r="I59" i="17"/>
  <c r="O59" i="17" s="1"/>
  <c r="P58" i="17"/>
  <c r="I58" i="17"/>
  <c r="O58" i="17" s="1"/>
  <c r="P57" i="17"/>
  <c r="O57" i="17"/>
  <c r="K57" i="17"/>
  <c r="P56" i="17"/>
  <c r="O56" i="17"/>
  <c r="K56" i="17"/>
  <c r="P55" i="17"/>
  <c r="O55" i="17"/>
  <c r="K55" i="17"/>
  <c r="P54" i="17"/>
  <c r="O54" i="17"/>
  <c r="K54" i="17"/>
  <c r="P53" i="17"/>
  <c r="O53" i="17"/>
  <c r="K53" i="17"/>
  <c r="M52" i="17"/>
  <c r="L52" i="17"/>
  <c r="J52" i="17"/>
  <c r="P50" i="17"/>
  <c r="O50" i="17"/>
  <c r="M49" i="17"/>
  <c r="L49" i="17"/>
  <c r="P47" i="17"/>
  <c r="I47" i="17"/>
  <c r="O47" i="17" s="1"/>
  <c r="P46" i="17"/>
  <c r="I46" i="17"/>
  <c r="O46" i="17" s="1"/>
  <c r="P45" i="17"/>
  <c r="I45" i="17"/>
  <c r="O45" i="17" s="1"/>
  <c r="J44" i="17"/>
  <c r="P44" i="17" s="1"/>
  <c r="P43" i="17"/>
  <c r="O43" i="17"/>
  <c r="K43" i="17"/>
  <c r="P41" i="17"/>
  <c r="O41" i="17"/>
  <c r="K41" i="17"/>
  <c r="P40" i="17"/>
  <c r="O40" i="17"/>
  <c r="K40" i="17"/>
  <c r="P39" i="17"/>
  <c r="I39" i="17"/>
  <c r="O39" i="17" s="1"/>
  <c r="P38" i="17"/>
  <c r="O38" i="17"/>
  <c r="K38" i="17"/>
  <c r="P37" i="17"/>
  <c r="O37" i="17"/>
  <c r="K37" i="17"/>
  <c r="P36" i="17"/>
  <c r="O36" i="17"/>
  <c r="K36" i="17"/>
  <c r="P35" i="17"/>
  <c r="I35" i="17"/>
  <c r="O35" i="17" s="1"/>
  <c r="I34" i="17"/>
  <c r="O34" i="17" s="1"/>
  <c r="P33" i="17"/>
  <c r="O33" i="17"/>
  <c r="K33" i="17"/>
  <c r="P32" i="17"/>
  <c r="O32" i="17"/>
  <c r="K32" i="17"/>
  <c r="P31" i="17"/>
  <c r="I31" i="17"/>
  <c r="P30" i="17"/>
  <c r="O30" i="17"/>
  <c r="K30" i="17"/>
  <c r="I29" i="17"/>
  <c r="P28" i="17"/>
  <c r="I28" i="17"/>
  <c r="O28" i="17" s="1"/>
  <c r="P27" i="17"/>
  <c r="O27" i="17"/>
  <c r="K27" i="17"/>
  <c r="P25" i="17"/>
  <c r="O25" i="17"/>
  <c r="K25" i="17"/>
  <c r="P24" i="17"/>
  <c r="I24" i="17"/>
  <c r="O24" i="17" s="1"/>
  <c r="M23" i="17"/>
  <c r="L23" i="17"/>
  <c r="P21" i="17"/>
  <c r="O21" i="17"/>
  <c r="K21" i="17"/>
  <c r="P20" i="17"/>
  <c r="O20" i="17"/>
  <c r="K20" i="17"/>
  <c r="P19" i="17"/>
  <c r="O19" i="17"/>
  <c r="K19" i="17"/>
  <c r="P18" i="17"/>
  <c r="O18" i="17"/>
  <c r="K18" i="17"/>
  <c r="P17" i="17"/>
  <c r="O17" i="17"/>
  <c r="K17" i="17"/>
  <c r="P16" i="17"/>
  <c r="I16" i="17"/>
  <c r="O16" i="17" s="1"/>
  <c r="P15" i="17"/>
  <c r="O15" i="17"/>
  <c r="K15" i="17"/>
  <c r="P14" i="17"/>
  <c r="O14" i="17"/>
  <c r="K14" i="17"/>
  <c r="P13" i="17"/>
  <c r="O13" i="17"/>
  <c r="K13" i="17"/>
  <c r="P12" i="17"/>
  <c r="I12" i="17"/>
  <c r="O12" i="17" s="1"/>
  <c r="J11" i="17"/>
  <c r="P11" i="17" s="1"/>
  <c r="M10" i="17"/>
  <c r="L10" i="17"/>
  <c r="B9" i="17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O74" i="16"/>
  <c r="P74" i="16"/>
  <c r="M58" i="16"/>
  <c r="N104" i="19" l="1"/>
  <c r="M51" i="19"/>
  <c r="N51" i="19" s="1"/>
  <c r="N70" i="19"/>
  <c r="K107" i="19"/>
  <c r="P20" i="19"/>
  <c r="N20" i="19"/>
  <c r="K92" i="19"/>
  <c r="K89" i="18"/>
  <c r="P79" i="18"/>
  <c r="N79" i="18"/>
  <c r="P66" i="18"/>
  <c r="N66" i="18"/>
  <c r="Q21" i="18"/>
  <c r="Q82" i="18"/>
  <c r="P93" i="18"/>
  <c r="Q93" i="18" s="1"/>
  <c r="N93" i="18"/>
  <c r="K42" i="18"/>
  <c r="Q43" i="17"/>
  <c r="O49" i="17"/>
  <c r="L48" i="17"/>
  <c r="P49" i="17"/>
  <c r="Q49" i="17" s="1"/>
  <c r="M48" i="17"/>
  <c r="K29" i="17"/>
  <c r="M61" i="17"/>
  <c r="N62" i="17"/>
  <c r="N64" i="17"/>
  <c r="N65" i="17"/>
  <c r="P97" i="18"/>
  <c r="P28" i="18"/>
  <c r="Q82" i="19"/>
  <c r="J70" i="19"/>
  <c r="I91" i="19"/>
  <c r="K91" i="19" s="1"/>
  <c r="Q53" i="19"/>
  <c r="Q92" i="19"/>
  <c r="Q107" i="19"/>
  <c r="J52" i="19"/>
  <c r="P52" i="19" s="1"/>
  <c r="P131" i="19"/>
  <c r="I131" i="19"/>
  <c r="O131" i="19" s="1"/>
  <c r="Q131" i="19" s="1"/>
  <c r="O115" i="19"/>
  <c r="Q115" i="19" s="1"/>
  <c r="O122" i="19"/>
  <c r="Q122" i="19" s="1"/>
  <c r="I119" i="19"/>
  <c r="K128" i="19"/>
  <c r="Q74" i="19"/>
  <c r="P71" i="19"/>
  <c r="M97" i="19"/>
  <c r="J97" i="19"/>
  <c r="I71" i="19"/>
  <c r="K71" i="19" s="1"/>
  <c r="K74" i="19"/>
  <c r="Q87" i="19"/>
  <c r="Q99" i="19"/>
  <c r="I52" i="19"/>
  <c r="O52" i="19" s="1"/>
  <c r="P27" i="19"/>
  <c r="J26" i="19"/>
  <c r="P26" i="19" s="1"/>
  <c r="Q58" i="19"/>
  <c r="K58" i="19"/>
  <c r="O116" i="19"/>
  <c r="O20" i="19"/>
  <c r="Q20" i="19" s="1"/>
  <c r="K24" i="19"/>
  <c r="O135" i="19"/>
  <c r="Q135" i="19" s="1"/>
  <c r="K135" i="19"/>
  <c r="M11" i="19"/>
  <c r="Q24" i="19"/>
  <c r="O129" i="19"/>
  <c r="Q129" i="19" s="1"/>
  <c r="K129" i="19"/>
  <c r="O45" i="19"/>
  <c r="Q45" i="19" s="1"/>
  <c r="K45" i="19"/>
  <c r="J137" i="19"/>
  <c r="P137" i="19" s="1"/>
  <c r="P138" i="19"/>
  <c r="O132" i="19"/>
  <c r="Q132" i="19" s="1"/>
  <c r="K132" i="19"/>
  <c r="L97" i="19"/>
  <c r="L9" i="19" s="1"/>
  <c r="O104" i="19"/>
  <c r="I86" i="19"/>
  <c r="P86" i="19"/>
  <c r="J51" i="19"/>
  <c r="J118" i="19"/>
  <c r="K119" i="19"/>
  <c r="P119" i="19"/>
  <c r="I97" i="19"/>
  <c r="O102" i="19"/>
  <c r="Q102" i="19" s="1"/>
  <c r="K31" i="19"/>
  <c r="O31" i="19"/>
  <c r="Q31" i="19" s="1"/>
  <c r="P70" i="19"/>
  <c r="O138" i="19"/>
  <c r="I137" i="19"/>
  <c r="K138" i="19"/>
  <c r="I70" i="19"/>
  <c r="O14" i="19"/>
  <c r="Q14" i="19" s="1"/>
  <c r="I10" i="19"/>
  <c r="K150" i="19"/>
  <c r="O150" i="19"/>
  <c r="Q150" i="19" s="1"/>
  <c r="I147" i="19"/>
  <c r="K27" i="19"/>
  <c r="I26" i="19"/>
  <c r="O27" i="19"/>
  <c r="O42" i="19"/>
  <c r="Q42" i="19" s="1"/>
  <c r="I41" i="19"/>
  <c r="O41" i="19" s="1"/>
  <c r="K131" i="19"/>
  <c r="P146" i="19"/>
  <c r="P41" i="19"/>
  <c r="K14" i="19"/>
  <c r="P104" i="19"/>
  <c r="K104" i="19"/>
  <c r="Q70" i="18"/>
  <c r="K15" i="18"/>
  <c r="L86" i="18"/>
  <c r="L85" i="18" s="1"/>
  <c r="Q89" i="18"/>
  <c r="J96" i="18"/>
  <c r="P96" i="18" s="1"/>
  <c r="Q77" i="18"/>
  <c r="Q42" i="18"/>
  <c r="M63" i="18"/>
  <c r="N63" i="18" s="1"/>
  <c r="I28" i="18"/>
  <c r="I11" i="18" s="1"/>
  <c r="L63" i="18"/>
  <c r="L57" i="18" s="1"/>
  <c r="O66" i="18"/>
  <c r="I58" i="18"/>
  <c r="K58" i="18" s="1"/>
  <c r="O59" i="18"/>
  <c r="Q59" i="18" s="1"/>
  <c r="I69" i="18"/>
  <c r="O73" i="18"/>
  <c r="Q73" i="18" s="1"/>
  <c r="K59" i="18"/>
  <c r="O100" i="18"/>
  <c r="Q100" i="18" s="1"/>
  <c r="I97" i="18"/>
  <c r="O63" i="18"/>
  <c r="P11" i="18"/>
  <c r="K100" i="18"/>
  <c r="M69" i="18"/>
  <c r="K73" i="18"/>
  <c r="K69" i="18"/>
  <c r="I85" i="18"/>
  <c r="J57" i="18"/>
  <c r="J10" i="18" s="1"/>
  <c r="P58" i="18"/>
  <c r="O24" i="18"/>
  <c r="Q24" i="18" s="1"/>
  <c r="L23" i="18"/>
  <c r="N23" i="18" s="1"/>
  <c r="M86" i="18"/>
  <c r="L69" i="18"/>
  <c r="O79" i="18"/>
  <c r="Q79" i="18" s="1"/>
  <c r="Q64" i="18"/>
  <c r="K12" i="18"/>
  <c r="O12" i="18"/>
  <c r="Q12" i="18" s="1"/>
  <c r="Q15" i="17"/>
  <c r="P29" i="17"/>
  <c r="Q39" i="17"/>
  <c r="J64" i="17"/>
  <c r="P64" i="17" s="1"/>
  <c r="Q13" i="17"/>
  <c r="K16" i="17"/>
  <c r="Q63" i="17"/>
  <c r="Q67" i="17"/>
  <c r="Q36" i="17"/>
  <c r="J23" i="17"/>
  <c r="J22" i="17" s="1"/>
  <c r="Q12" i="17"/>
  <c r="Q38" i="17"/>
  <c r="P62" i="17"/>
  <c r="Q66" i="17"/>
  <c r="Q54" i="17"/>
  <c r="Q37" i="17"/>
  <c r="P61" i="17"/>
  <c r="M51" i="17"/>
  <c r="Q20" i="17"/>
  <c r="O29" i="17"/>
  <c r="Q29" i="17" s="1"/>
  <c r="Q30" i="17"/>
  <c r="Q33" i="17"/>
  <c r="K35" i="17"/>
  <c r="Q41" i="17"/>
  <c r="K46" i="17"/>
  <c r="Q56" i="17"/>
  <c r="Q14" i="17"/>
  <c r="Q19" i="17"/>
  <c r="K28" i="17"/>
  <c r="K39" i="17"/>
  <c r="Q40" i="17"/>
  <c r="Q55" i="17"/>
  <c r="Q62" i="17"/>
  <c r="Q17" i="17"/>
  <c r="Q18" i="17"/>
  <c r="Q46" i="17"/>
  <c r="I52" i="17"/>
  <c r="Q60" i="17"/>
  <c r="P52" i="17"/>
  <c r="Q21" i="17"/>
  <c r="Q24" i="17"/>
  <c r="Q25" i="17"/>
  <c r="Q27" i="17"/>
  <c r="Q47" i="17"/>
  <c r="J51" i="17"/>
  <c r="Q57" i="17"/>
  <c r="Q35" i="17"/>
  <c r="Q28" i="17"/>
  <c r="Q58" i="17"/>
  <c r="O64" i="17"/>
  <c r="O65" i="17"/>
  <c r="Q65" i="17" s="1"/>
  <c r="Q16" i="17"/>
  <c r="I26" i="17"/>
  <c r="O26" i="17" s="1"/>
  <c r="Q26" i="17" s="1"/>
  <c r="Q32" i="17"/>
  <c r="Q34" i="17"/>
  <c r="Q45" i="17"/>
  <c r="Q50" i="17"/>
  <c r="Q53" i="17"/>
  <c r="K58" i="17"/>
  <c r="B59" i="17"/>
  <c r="B60" i="17" s="1"/>
  <c r="B61" i="17" s="1"/>
  <c r="B62" i="17" s="1"/>
  <c r="B63" i="17" s="1"/>
  <c r="B64" i="17" s="1"/>
  <c r="B65" i="17" s="1"/>
  <c r="B66" i="17" s="1"/>
  <c r="B67" i="17" s="1"/>
  <c r="J10" i="17"/>
  <c r="I11" i="17"/>
  <c r="K12" i="17"/>
  <c r="K24" i="17"/>
  <c r="K31" i="17"/>
  <c r="K34" i="17"/>
  <c r="I44" i="17"/>
  <c r="K45" i="17"/>
  <c r="K47" i="17"/>
  <c r="O31" i="17"/>
  <c r="Q31" i="17" s="1"/>
  <c r="L61" i="17"/>
  <c r="O61" i="17" s="1"/>
  <c r="P132" i="16"/>
  <c r="L132" i="16"/>
  <c r="M131" i="16"/>
  <c r="M130" i="16" s="1"/>
  <c r="P130" i="16" s="1"/>
  <c r="P129" i="16"/>
  <c r="O129" i="16"/>
  <c r="K129" i="16"/>
  <c r="P128" i="16"/>
  <c r="O128" i="16"/>
  <c r="K128" i="16"/>
  <c r="P127" i="16"/>
  <c r="O127" i="16"/>
  <c r="K127" i="16"/>
  <c r="P126" i="16"/>
  <c r="O126" i="16"/>
  <c r="K126" i="16"/>
  <c r="P125" i="16"/>
  <c r="O125" i="16"/>
  <c r="K125" i="16"/>
  <c r="P124" i="16"/>
  <c r="O124" i="16"/>
  <c r="K124" i="16"/>
  <c r="P123" i="16"/>
  <c r="O123" i="16"/>
  <c r="K123" i="16"/>
  <c r="P122" i="16"/>
  <c r="O122" i="16"/>
  <c r="K122" i="16"/>
  <c r="P121" i="16"/>
  <c r="O121" i="16"/>
  <c r="K121" i="16"/>
  <c r="P120" i="16"/>
  <c r="I120" i="16"/>
  <c r="P119" i="16"/>
  <c r="O119" i="16"/>
  <c r="K119" i="16"/>
  <c r="P118" i="16"/>
  <c r="I118" i="16"/>
  <c r="K118" i="16" s="1"/>
  <c r="M117" i="16"/>
  <c r="L117" i="16"/>
  <c r="J117" i="16"/>
  <c r="P116" i="16"/>
  <c r="O116" i="16"/>
  <c r="K116" i="16"/>
  <c r="P115" i="16"/>
  <c r="O115" i="16"/>
  <c r="K115" i="16"/>
  <c r="P113" i="16"/>
  <c r="L113" i="16"/>
  <c r="O113" i="16" s="1"/>
  <c r="P112" i="16"/>
  <c r="L112" i="16"/>
  <c r="N112" i="16" s="1"/>
  <c r="P111" i="16"/>
  <c r="L111" i="16"/>
  <c r="P110" i="16"/>
  <c r="L110" i="16"/>
  <c r="M109" i="16"/>
  <c r="P108" i="16"/>
  <c r="L108" i="16"/>
  <c r="P107" i="16"/>
  <c r="O107" i="16"/>
  <c r="M106" i="16"/>
  <c r="L106" i="16"/>
  <c r="P105" i="16"/>
  <c r="O105" i="16"/>
  <c r="M104" i="16"/>
  <c r="N104" i="16" s="1"/>
  <c r="L104" i="16"/>
  <c r="O104" i="16" s="1"/>
  <c r="P101" i="16"/>
  <c r="I101" i="16"/>
  <c r="K101" i="16" s="1"/>
  <c r="P100" i="16"/>
  <c r="I100" i="16"/>
  <c r="P99" i="16"/>
  <c r="I99" i="16"/>
  <c r="K99" i="16" s="1"/>
  <c r="P98" i="16"/>
  <c r="I98" i="16"/>
  <c r="O98" i="16" s="1"/>
  <c r="P97" i="16"/>
  <c r="I97" i="16"/>
  <c r="K97" i="16" s="1"/>
  <c r="J96" i="16"/>
  <c r="P96" i="16" s="1"/>
  <c r="P95" i="16"/>
  <c r="I95" i="16"/>
  <c r="P94" i="16"/>
  <c r="I94" i="16"/>
  <c r="O94" i="16" s="1"/>
  <c r="P91" i="16"/>
  <c r="I91" i="16"/>
  <c r="O91" i="16" s="1"/>
  <c r="P90" i="16"/>
  <c r="I90" i="16"/>
  <c r="P89" i="16"/>
  <c r="I89" i="16"/>
  <c r="O89" i="16" s="1"/>
  <c r="P88" i="16"/>
  <c r="I88" i="16"/>
  <c r="P87" i="16"/>
  <c r="I87" i="16"/>
  <c r="O87" i="16" s="1"/>
  <c r="M86" i="16"/>
  <c r="L86" i="16"/>
  <c r="J86" i="16"/>
  <c r="J83" i="16" s="1"/>
  <c r="P85" i="16"/>
  <c r="I85" i="16"/>
  <c r="O85" i="16" s="1"/>
  <c r="P84" i="16"/>
  <c r="O84" i="16"/>
  <c r="K84" i="16"/>
  <c r="P82" i="16"/>
  <c r="L82" i="16"/>
  <c r="M81" i="16"/>
  <c r="P80" i="16"/>
  <c r="O80" i="16"/>
  <c r="P79" i="16"/>
  <c r="O79" i="16"/>
  <c r="M78" i="16"/>
  <c r="L78" i="16"/>
  <c r="O78" i="16" s="1"/>
  <c r="P76" i="16"/>
  <c r="I76" i="16"/>
  <c r="K76" i="16" s="1"/>
  <c r="P75" i="16"/>
  <c r="I75" i="16"/>
  <c r="K75" i="16" s="1"/>
  <c r="Q74" i="16"/>
  <c r="K74" i="16"/>
  <c r="P73" i="16"/>
  <c r="I73" i="16"/>
  <c r="O73" i="16" s="1"/>
  <c r="M72" i="16"/>
  <c r="L72" i="16"/>
  <c r="J72" i="16"/>
  <c r="P70" i="16"/>
  <c r="I70" i="16"/>
  <c r="K70" i="16" s="1"/>
  <c r="P69" i="16"/>
  <c r="O69" i="16"/>
  <c r="K69" i="16"/>
  <c r="P68" i="16"/>
  <c r="I68" i="16"/>
  <c r="K68" i="16" s="1"/>
  <c r="P67" i="16"/>
  <c r="O67" i="16"/>
  <c r="K67" i="16"/>
  <c r="P66" i="16"/>
  <c r="I66" i="16"/>
  <c r="O66" i="16" s="1"/>
  <c r="P65" i="16"/>
  <c r="I65" i="16"/>
  <c r="O65" i="16" s="1"/>
  <c r="P64" i="16"/>
  <c r="I64" i="16"/>
  <c r="O64" i="16" s="1"/>
  <c r="M63" i="16"/>
  <c r="M60" i="16" s="1"/>
  <c r="L63" i="16"/>
  <c r="L60" i="16" s="1"/>
  <c r="J63" i="16"/>
  <c r="J60" i="16" s="1"/>
  <c r="P62" i="16"/>
  <c r="I62" i="16"/>
  <c r="K62" i="16" s="1"/>
  <c r="P61" i="16"/>
  <c r="I61" i="16"/>
  <c r="O61" i="16" s="1"/>
  <c r="P59" i="16"/>
  <c r="L59" i="16"/>
  <c r="P58" i="16"/>
  <c r="L58" i="16"/>
  <c r="O58" i="16" s="1"/>
  <c r="M57" i="16"/>
  <c r="P56" i="16"/>
  <c r="O56" i="16"/>
  <c r="P55" i="16"/>
  <c r="O55" i="16"/>
  <c r="P54" i="16"/>
  <c r="O54" i="16"/>
  <c r="M53" i="16"/>
  <c r="L53" i="16"/>
  <c r="O53" i="16" s="1"/>
  <c r="P51" i="16"/>
  <c r="O51" i="16"/>
  <c r="K51" i="16"/>
  <c r="M50" i="16"/>
  <c r="L50" i="16"/>
  <c r="J50" i="16"/>
  <c r="I50" i="16"/>
  <c r="P48" i="16"/>
  <c r="O48" i="16"/>
  <c r="P47" i="16"/>
  <c r="O47" i="16"/>
  <c r="P46" i="16"/>
  <c r="O46" i="16"/>
  <c r="M45" i="16"/>
  <c r="N45" i="16" s="1"/>
  <c r="L45" i="16"/>
  <c r="J44" i="16"/>
  <c r="I44" i="16"/>
  <c r="P43" i="16"/>
  <c r="O43" i="16"/>
  <c r="K43" i="16"/>
  <c r="P42" i="16"/>
  <c r="I42" i="16"/>
  <c r="P41" i="16"/>
  <c r="O41" i="16"/>
  <c r="K41" i="16"/>
  <c r="P40" i="16"/>
  <c r="O40" i="16"/>
  <c r="K40" i="16"/>
  <c r="J39" i="16"/>
  <c r="I39" i="16"/>
  <c r="O39" i="16" s="1"/>
  <c r="P38" i="16"/>
  <c r="O38" i="16"/>
  <c r="K38" i="16"/>
  <c r="M37" i="16"/>
  <c r="L37" i="16"/>
  <c r="P35" i="16"/>
  <c r="O35" i="16"/>
  <c r="K35" i="16"/>
  <c r="P34" i="16"/>
  <c r="O34" i="16"/>
  <c r="K34" i="16"/>
  <c r="J33" i="16"/>
  <c r="I33" i="16"/>
  <c r="M32" i="16"/>
  <c r="L32" i="16"/>
  <c r="P30" i="16"/>
  <c r="Q30" i="16" s="1"/>
  <c r="O30" i="16"/>
  <c r="K30" i="16"/>
  <c r="P29" i="16"/>
  <c r="O29" i="16"/>
  <c r="K29" i="16"/>
  <c r="P28" i="16"/>
  <c r="O28" i="16"/>
  <c r="K28" i="16"/>
  <c r="P27" i="16"/>
  <c r="O27" i="16"/>
  <c r="K27" i="16"/>
  <c r="P26" i="16"/>
  <c r="Q26" i="16" s="1"/>
  <c r="O26" i="16"/>
  <c r="K26" i="16"/>
  <c r="P25" i="16"/>
  <c r="O25" i="16"/>
  <c r="K25" i="16"/>
  <c r="P24" i="16"/>
  <c r="O24" i="16"/>
  <c r="K24" i="16"/>
  <c r="P23" i="16"/>
  <c r="I23" i="16"/>
  <c r="P22" i="16"/>
  <c r="O22" i="16"/>
  <c r="K22" i="16"/>
  <c r="P21" i="16"/>
  <c r="O21" i="16"/>
  <c r="K21" i="16"/>
  <c r="P20" i="16"/>
  <c r="O20" i="16"/>
  <c r="K20" i="16"/>
  <c r="P19" i="16"/>
  <c r="I19" i="16"/>
  <c r="K19" i="16" s="1"/>
  <c r="P18" i="16"/>
  <c r="I18" i="16"/>
  <c r="O18" i="16" s="1"/>
  <c r="P17" i="16"/>
  <c r="Q17" i="16" s="1"/>
  <c r="O17" i="16"/>
  <c r="K17" i="16"/>
  <c r="P16" i="16"/>
  <c r="I16" i="16"/>
  <c r="K16" i="16" s="1"/>
  <c r="M15" i="16"/>
  <c r="L15" i="16"/>
  <c r="L14" i="16" s="1"/>
  <c r="J15" i="16"/>
  <c r="P15" i="16" s="1"/>
  <c r="M14" i="16"/>
  <c r="P13" i="16"/>
  <c r="O13" i="16"/>
  <c r="K13" i="16"/>
  <c r="J12" i="16"/>
  <c r="J11" i="16" s="1"/>
  <c r="I12" i="16"/>
  <c r="O12" i="16" s="1"/>
  <c r="M11" i="16"/>
  <c r="L11" i="16"/>
  <c r="B10" i="16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O91" i="19" l="1"/>
  <c r="Q91" i="19" s="1"/>
  <c r="O71" i="19"/>
  <c r="P97" i="19"/>
  <c r="Q97" i="19" s="1"/>
  <c r="N97" i="19"/>
  <c r="Q66" i="18"/>
  <c r="P69" i="18"/>
  <c r="N69" i="18"/>
  <c r="N86" i="18"/>
  <c r="N61" i="17"/>
  <c r="O110" i="16"/>
  <c r="N110" i="16"/>
  <c r="N53" i="16"/>
  <c r="P81" i="16"/>
  <c r="O108" i="16"/>
  <c r="N108" i="16"/>
  <c r="P57" i="16"/>
  <c r="O82" i="16"/>
  <c r="N82" i="16"/>
  <c r="P106" i="16"/>
  <c r="N106" i="16"/>
  <c r="O111" i="16"/>
  <c r="N111" i="16"/>
  <c r="P78" i="16"/>
  <c r="Q78" i="16" s="1"/>
  <c r="N78" i="16"/>
  <c r="O59" i="16"/>
  <c r="N59" i="16"/>
  <c r="P109" i="16"/>
  <c r="N58" i="16"/>
  <c r="Q61" i="17"/>
  <c r="Q127" i="16"/>
  <c r="J93" i="16"/>
  <c r="O97" i="19"/>
  <c r="Q71" i="19"/>
  <c r="K52" i="19"/>
  <c r="I118" i="19"/>
  <c r="O118" i="19" s="1"/>
  <c r="O119" i="19"/>
  <c r="Q119" i="19" s="1"/>
  <c r="Q52" i="19"/>
  <c r="J9" i="19"/>
  <c r="Q27" i="19"/>
  <c r="M10" i="19"/>
  <c r="P11" i="19"/>
  <c r="K41" i="19"/>
  <c r="Q41" i="19"/>
  <c r="Q104" i="19"/>
  <c r="Q138" i="19"/>
  <c r="O86" i="19"/>
  <c r="Q86" i="19" s="1"/>
  <c r="I51" i="19"/>
  <c r="O51" i="19" s="1"/>
  <c r="I11" i="19"/>
  <c r="O10" i="19"/>
  <c r="K10" i="19"/>
  <c r="O70" i="19"/>
  <c r="Q70" i="19" s="1"/>
  <c r="K70" i="19"/>
  <c r="K97" i="19"/>
  <c r="P118" i="19"/>
  <c r="Q118" i="19" s="1"/>
  <c r="K118" i="19"/>
  <c r="O147" i="19"/>
  <c r="Q147" i="19" s="1"/>
  <c r="I146" i="19"/>
  <c r="K147" i="19"/>
  <c r="P51" i="19"/>
  <c r="K51" i="19"/>
  <c r="O26" i="19"/>
  <c r="Q26" i="19" s="1"/>
  <c r="K26" i="19"/>
  <c r="O137" i="19"/>
  <c r="Q137" i="19" s="1"/>
  <c r="K137" i="19"/>
  <c r="K86" i="19"/>
  <c r="O86" i="18"/>
  <c r="M57" i="18"/>
  <c r="P63" i="18"/>
  <c r="Q63" i="18" s="1"/>
  <c r="O28" i="18"/>
  <c r="Q28" i="18" s="1"/>
  <c r="K28" i="18"/>
  <c r="O85" i="18"/>
  <c r="K85" i="18"/>
  <c r="O97" i="18"/>
  <c r="Q97" i="18" s="1"/>
  <c r="I96" i="18"/>
  <c r="K97" i="18"/>
  <c r="O58" i="18"/>
  <c r="Q58" i="18" s="1"/>
  <c r="I57" i="18"/>
  <c r="O57" i="18" s="1"/>
  <c r="M85" i="18"/>
  <c r="N85" i="18" s="1"/>
  <c r="P86" i="18"/>
  <c r="K11" i="18"/>
  <c r="O69" i="18"/>
  <c r="Q69" i="18" s="1"/>
  <c r="O23" i="18"/>
  <c r="Q23" i="18" s="1"/>
  <c r="L11" i="18"/>
  <c r="O11" i="18" s="1"/>
  <c r="Q11" i="18" s="1"/>
  <c r="Q64" i="17"/>
  <c r="P23" i="17"/>
  <c r="P51" i="17"/>
  <c r="O52" i="17"/>
  <c r="Q52" i="17" s="1"/>
  <c r="I51" i="17"/>
  <c r="K51" i="17" s="1"/>
  <c r="K52" i="17"/>
  <c r="I23" i="17"/>
  <c r="I22" i="17" s="1"/>
  <c r="O22" i="17" s="1"/>
  <c r="K26" i="17"/>
  <c r="J42" i="17"/>
  <c r="J9" i="17" s="1"/>
  <c r="O48" i="17"/>
  <c r="K44" i="17"/>
  <c r="O44" i="17"/>
  <c r="Q44" i="17" s="1"/>
  <c r="L51" i="17"/>
  <c r="N51" i="17" s="1"/>
  <c r="P22" i="17"/>
  <c r="K11" i="17"/>
  <c r="O11" i="17"/>
  <c r="Q11" i="17" s="1"/>
  <c r="I10" i="17"/>
  <c r="O10" i="17" s="1"/>
  <c r="P10" i="17"/>
  <c r="Q55" i="16"/>
  <c r="Q46" i="16"/>
  <c r="B47" i="16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K91" i="16"/>
  <c r="O70" i="16"/>
  <c r="Q82" i="16"/>
  <c r="Q48" i="16"/>
  <c r="L81" i="16"/>
  <c r="O81" i="16" s="1"/>
  <c r="Q98" i="16"/>
  <c r="Q13" i="16"/>
  <c r="Q61" i="16"/>
  <c r="Q110" i="16"/>
  <c r="Q22" i="16"/>
  <c r="Q43" i="16"/>
  <c r="Q47" i="16"/>
  <c r="O68" i="16"/>
  <c r="Q68" i="16" s="1"/>
  <c r="Q69" i="16"/>
  <c r="P86" i="16"/>
  <c r="K87" i="16"/>
  <c r="O97" i="16"/>
  <c r="Q123" i="16"/>
  <c r="P11" i="16"/>
  <c r="K12" i="16"/>
  <c r="Q24" i="16"/>
  <c r="Q54" i="16"/>
  <c r="P60" i="16"/>
  <c r="P72" i="16"/>
  <c r="I11" i="16"/>
  <c r="O11" i="16" s="1"/>
  <c r="P12" i="16"/>
  <c r="Q12" i="16" s="1"/>
  <c r="Q56" i="16"/>
  <c r="Q59" i="16"/>
  <c r="Q64" i="16"/>
  <c r="Q85" i="16"/>
  <c r="Q113" i="16"/>
  <c r="I117" i="16"/>
  <c r="K18" i="16"/>
  <c r="K65" i="16"/>
  <c r="K73" i="16"/>
  <c r="K85" i="16"/>
  <c r="K94" i="16"/>
  <c r="P131" i="16"/>
  <c r="J14" i="16"/>
  <c r="P14" i="16" s="1"/>
  <c r="Q28" i="16"/>
  <c r="K61" i="16"/>
  <c r="K66" i="16"/>
  <c r="O16" i="16"/>
  <c r="Q16" i="16" s="1"/>
  <c r="Q27" i="16"/>
  <c r="I63" i="16"/>
  <c r="O63" i="16" s="1"/>
  <c r="Q66" i="16"/>
  <c r="J71" i="16"/>
  <c r="O76" i="16"/>
  <c r="Q76" i="16" s="1"/>
  <c r="Q79" i="16"/>
  <c r="Q81" i="16"/>
  <c r="K89" i="16"/>
  <c r="O99" i="16"/>
  <c r="Q99" i="16" s="1"/>
  <c r="Q107" i="16"/>
  <c r="Q124" i="16"/>
  <c r="Q20" i="16"/>
  <c r="Q51" i="16"/>
  <c r="Q65" i="16"/>
  <c r="O101" i="16"/>
  <c r="Q111" i="16"/>
  <c r="P117" i="16"/>
  <c r="O118" i="16"/>
  <c r="Q118" i="16" s="1"/>
  <c r="Q128" i="16"/>
  <c r="O33" i="16"/>
  <c r="I32" i="16"/>
  <c r="O32" i="16" s="1"/>
  <c r="P50" i="16"/>
  <c r="K50" i="16"/>
  <c r="J49" i="16"/>
  <c r="K33" i="16"/>
  <c r="Q35" i="16"/>
  <c r="J37" i="16"/>
  <c r="K39" i="16"/>
  <c r="Q67" i="16"/>
  <c r="O90" i="16"/>
  <c r="Q90" i="16" s="1"/>
  <c r="K90" i="16"/>
  <c r="I86" i="16"/>
  <c r="J92" i="16"/>
  <c r="O117" i="16"/>
  <c r="I114" i="16"/>
  <c r="Q122" i="16"/>
  <c r="Q18" i="16"/>
  <c r="Q21" i="16"/>
  <c r="J32" i="16"/>
  <c r="P33" i="16"/>
  <c r="Q33" i="16" s="1"/>
  <c r="Q34" i="16"/>
  <c r="P39" i="16"/>
  <c r="Q39" i="16" s="1"/>
  <c r="Q40" i="16"/>
  <c r="P45" i="16"/>
  <c r="M44" i="16"/>
  <c r="N44" i="16" s="1"/>
  <c r="P63" i="16"/>
  <c r="Q63" i="16" s="1"/>
  <c r="K63" i="16"/>
  <c r="M77" i="16"/>
  <c r="P93" i="16"/>
  <c r="Q97" i="16"/>
  <c r="Q101" i="16"/>
  <c r="O106" i="16"/>
  <c r="O120" i="16"/>
  <c r="Q120" i="16" s="1"/>
  <c r="K120" i="16"/>
  <c r="Q126" i="16"/>
  <c r="Q41" i="16"/>
  <c r="O45" i="16"/>
  <c r="L44" i="16"/>
  <c r="L36" i="16" s="1"/>
  <c r="K11" i="16"/>
  <c r="O19" i="16"/>
  <c r="Q19" i="16" s="1"/>
  <c r="I15" i="16"/>
  <c r="O23" i="16"/>
  <c r="Q23" i="16" s="1"/>
  <c r="K23" i="16"/>
  <c r="Q25" i="16"/>
  <c r="Q29" i="16"/>
  <c r="Q38" i="16"/>
  <c r="O42" i="16"/>
  <c r="Q42" i="16" s="1"/>
  <c r="K42" i="16"/>
  <c r="I37" i="16"/>
  <c r="O50" i="16"/>
  <c r="Q58" i="16"/>
  <c r="L57" i="16"/>
  <c r="N57" i="16" s="1"/>
  <c r="O62" i="16"/>
  <c r="Q62" i="16" s="1"/>
  <c r="K64" i="16"/>
  <c r="Q70" i="16"/>
  <c r="O88" i="16"/>
  <c r="Q88" i="16" s="1"/>
  <c r="K88" i="16"/>
  <c r="O95" i="16"/>
  <c r="Q95" i="16" s="1"/>
  <c r="K95" i="16"/>
  <c r="L109" i="16"/>
  <c r="O109" i="16" s="1"/>
  <c r="O112" i="16"/>
  <c r="Q112" i="16" s="1"/>
  <c r="P53" i="16"/>
  <c r="Q53" i="16" s="1"/>
  <c r="M52" i="16"/>
  <c r="I60" i="16"/>
  <c r="O60" i="16" s="1"/>
  <c r="Q80" i="16"/>
  <c r="Q87" i="16"/>
  <c r="Q89" i="16"/>
  <c r="Q91" i="16"/>
  <c r="Q94" i="16"/>
  <c r="I96" i="16"/>
  <c r="O100" i="16"/>
  <c r="Q100" i="16" s="1"/>
  <c r="Q108" i="16"/>
  <c r="Q116" i="16"/>
  <c r="Q121" i="16"/>
  <c r="Q125" i="16"/>
  <c r="Q129" i="16"/>
  <c r="L131" i="16"/>
  <c r="O132" i="16"/>
  <c r="Q132" i="16" s="1"/>
  <c r="Q73" i="16"/>
  <c r="O75" i="16"/>
  <c r="Q75" i="16" s="1"/>
  <c r="I72" i="16"/>
  <c r="P83" i="16"/>
  <c r="Q84" i="16"/>
  <c r="K98" i="16"/>
  <c r="K100" i="16"/>
  <c r="P104" i="16"/>
  <c r="Q104" i="16" s="1"/>
  <c r="M103" i="16"/>
  <c r="Q105" i="16"/>
  <c r="Q115" i="16"/>
  <c r="M114" i="16"/>
  <c r="Q119" i="16"/>
  <c r="J114" i="16"/>
  <c r="K117" i="16"/>
  <c r="J823" i="15"/>
  <c r="M409" i="15"/>
  <c r="M345" i="15"/>
  <c r="M465" i="15"/>
  <c r="N465" i="15" s="1"/>
  <c r="M446" i="15"/>
  <c r="M240" i="15"/>
  <c r="M239" i="15" s="1"/>
  <c r="M137" i="15"/>
  <c r="M68" i="15"/>
  <c r="M32" i="15"/>
  <c r="M147" i="14"/>
  <c r="P851" i="15"/>
  <c r="I851" i="15"/>
  <c r="P850" i="15"/>
  <c r="I850" i="15"/>
  <c r="P849" i="15"/>
  <c r="I849" i="15"/>
  <c r="P848" i="15"/>
  <c r="I848" i="15"/>
  <c r="K848" i="15" s="1"/>
  <c r="P847" i="15"/>
  <c r="I847" i="15"/>
  <c r="P846" i="15"/>
  <c r="I846" i="15"/>
  <c r="O846" i="15" s="1"/>
  <c r="P845" i="15"/>
  <c r="I845" i="15"/>
  <c r="P844" i="15"/>
  <c r="O844" i="15"/>
  <c r="K844" i="15"/>
  <c r="M843" i="15"/>
  <c r="L843" i="15"/>
  <c r="L840" i="15" s="1"/>
  <c r="J843" i="15"/>
  <c r="J840" i="15" s="1"/>
  <c r="P842" i="15"/>
  <c r="I842" i="15"/>
  <c r="P841" i="15"/>
  <c r="I841" i="15"/>
  <c r="J839" i="15"/>
  <c r="I839" i="15"/>
  <c r="O839" i="15" s="1"/>
  <c r="P838" i="15"/>
  <c r="O838" i="15"/>
  <c r="K838" i="15"/>
  <c r="P837" i="15"/>
  <c r="O837" i="15"/>
  <c r="K837" i="15"/>
  <c r="P836" i="15"/>
  <c r="O836" i="15"/>
  <c r="K836" i="15"/>
  <c r="P835" i="15"/>
  <c r="I835" i="15"/>
  <c r="O835" i="15" s="1"/>
  <c r="P834" i="15"/>
  <c r="I834" i="15"/>
  <c r="K834" i="15" s="1"/>
  <c r="P833" i="15"/>
  <c r="O833" i="15"/>
  <c r="K833" i="15"/>
  <c r="P832" i="15"/>
  <c r="I832" i="15"/>
  <c r="M831" i="15"/>
  <c r="M828" i="15" s="1"/>
  <c r="L831" i="15"/>
  <c r="J831" i="15"/>
  <c r="P830" i="15"/>
  <c r="I830" i="15"/>
  <c r="K830" i="15" s="1"/>
  <c r="P829" i="15"/>
  <c r="I829" i="15"/>
  <c r="P827" i="15"/>
  <c r="O827" i="15"/>
  <c r="K827" i="15"/>
  <c r="P826" i="15"/>
  <c r="O826" i="15"/>
  <c r="K826" i="15"/>
  <c r="P825" i="15"/>
  <c r="O825" i="15"/>
  <c r="K825" i="15"/>
  <c r="P824" i="15"/>
  <c r="O824" i="15"/>
  <c r="K824" i="15"/>
  <c r="P823" i="15"/>
  <c r="I823" i="15"/>
  <c r="K823" i="15" s="1"/>
  <c r="M822" i="15"/>
  <c r="L822" i="15"/>
  <c r="J822" i="15"/>
  <c r="I822" i="15"/>
  <c r="P821" i="15"/>
  <c r="O821" i="15"/>
  <c r="K821" i="15"/>
  <c r="M820" i="15"/>
  <c r="L820" i="15"/>
  <c r="L819" i="15" s="1"/>
  <c r="J820" i="15"/>
  <c r="I820" i="15"/>
  <c r="I819" i="15" s="1"/>
  <c r="M819" i="15"/>
  <c r="P817" i="15"/>
  <c r="I817" i="15"/>
  <c r="P816" i="15"/>
  <c r="O816" i="15"/>
  <c r="K816" i="15"/>
  <c r="P815" i="15"/>
  <c r="I815" i="15"/>
  <c r="P814" i="15"/>
  <c r="I814" i="15"/>
  <c r="P812" i="15"/>
  <c r="I812" i="15"/>
  <c r="P811" i="15"/>
  <c r="I811" i="15"/>
  <c r="O811" i="15" s="1"/>
  <c r="P810" i="15"/>
  <c r="I810" i="15"/>
  <c r="K810" i="15" s="1"/>
  <c r="P809" i="15"/>
  <c r="I809" i="15"/>
  <c r="O809" i="15" s="1"/>
  <c r="P808" i="15"/>
  <c r="O808" i="15"/>
  <c r="K808" i="15"/>
  <c r="P807" i="15"/>
  <c r="I807" i="15"/>
  <c r="M806" i="15"/>
  <c r="L806" i="15"/>
  <c r="J806" i="15"/>
  <c r="J803" i="15" s="1"/>
  <c r="P805" i="15"/>
  <c r="I805" i="15"/>
  <c r="P804" i="15"/>
  <c r="I804" i="15"/>
  <c r="P802" i="15"/>
  <c r="L802" i="15"/>
  <c r="M801" i="15"/>
  <c r="P800" i="15"/>
  <c r="O800" i="15"/>
  <c r="M799" i="15"/>
  <c r="N799" i="15" s="1"/>
  <c r="L799" i="15"/>
  <c r="O799" i="15" s="1"/>
  <c r="J798" i="15"/>
  <c r="I798" i="15"/>
  <c r="P797" i="15"/>
  <c r="I797" i="15"/>
  <c r="P796" i="15"/>
  <c r="I796" i="15"/>
  <c r="P795" i="15"/>
  <c r="O795" i="15"/>
  <c r="K795" i="15"/>
  <c r="P794" i="15"/>
  <c r="I794" i="15"/>
  <c r="P793" i="15"/>
  <c r="I793" i="15"/>
  <c r="P791" i="15"/>
  <c r="O791" i="15"/>
  <c r="K791" i="15"/>
  <c r="P790" i="15"/>
  <c r="O790" i="15"/>
  <c r="K790" i="15"/>
  <c r="P789" i="15"/>
  <c r="O789" i="15"/>
  <c r="K789" i="15"/>
  <c r="P788" i="15"/>
  <c r="O788" i="15"/>
  <c r="K788" i="15"/>
  <c r="P787" i="15"/>
  <c r="I787" i="15"/>
  <c r="P786" i="15"/>
  <c r="O786" i="15"/>
  <c r="K786" i="15"/>
  <c r="P785" i="15"/>
  <c r="O785" i="15"/>
  <c r="K785" i="15"/>
  <c r="P784" i="15"/>
  <c r="O784" i="15"/>
  <c r="K784" i="15"/>
  <c r="M783" i="15"/>
  <c r="L783" i="15"/>
  <c r="J783" i="15"/>
  <c r="P782" i="15"/>
  <c r="O782" i="15"/>
  <c r="K782" i="15"/>
  <c r="P781" i="15"/>
  <c r="O781" i="15"/>
  <c r="K781" i="15"/>
  <c r="P778" i="15"/>
  <c r="O778" i="15"/>
  <c r="P777" i="15"/>
  <c r="O777" i="15"/>
  <c r="P776" i="15"/>
  <c r="L776" i="15"/>
  <c r="P775" i="15"/>
  <c r="I775" i="15"/>
  <c r="P774" i="15"/>
  <c r="I774" i="15"/>
  <c r="P773" i="15"/>
  <c r="I773" i="15"/>
  <c r="P772" i="15"/>
  <c r="I772" i="15"/>
  <c r="K772" i="15" s="1"/>
  <c r="P771" i="15"/>
  <c r="O771" i="15"/>
  <c r="K771" i="15"/>
  <c r="P769" i="15"/>
  <c r="I769" i="15"/>
  <c r="K769" i="15" s="1"/>
  <c r="P768" i="15"/>
  <c r="I768" i="15"/>
  <c r="P767" i="15"/>
  <c r="I767" i="15"/>
  <c r="K767" i="15" s="1"/>
  <c r="P766" i="15"/>
  <c r="I766" i="15"/>
  <c r="P765" i="15"/>
  <c r="I765" i="15"/>
  <c r="P764" i="15"/>
  <c r="I764" i="15"/>
  <c r="P763" i="15"/>
  <c r="I763" i="15"/>
  <c r="P761" i="15"/>
  <c r="I761" i="15"/>
  <c r="P760" i="15"/>
  <c r="I760" i="15"/>
  <c r="O760" i="15" s="1"/>
  <c r="P758" i="15"/>
  <c r="O758" i="15"/>
  <c r="K758" i="15"/>
  <c r="P757" i="15"/>
  <c r="O757" i="15"/>
  <c r="K757" i="15"/>
  <c r="P756" i="15"/>
  <c r="I756" i="15"/>
  <c r="P755" i="15"/>
  <c r="O755" i="15"/>
  <c r="K755" i="15"/>
  <c r="M754" i="15"/>
  <c r="L754" i="15"/>
  <c r="J754" i="15"/>
  <c r="P753" i="15"/>
  <c r="I753" i="15"/>
  <c r="P752" i="15"/>
  <c r="I752" i="15"/>
  <c r="O752" i="15" s="1"/>
  <c r="P751" i="15"/>
  <c r="I751" i="15"/>
  <c r="P750" i="15"/>
  <c r="O750" i="15"/>
  <c r="K750" i="15"/>
  <c r="P749" i="15"/>
  <c r="O749" i="15"/>
  <c r="K749" i="15"/>
  <c r="P748" i="15"/>
  <c r="I748" i="15"/>
  <c r="P747" i="15"/>
  <c r="O747" i="15"/>
  <c r="K747" i="15"/>
  <c r="M746" i="15"/>
  <c r="L746" i="15"/>
  <c r="J746" i="15"/>
  <c r="P745" i="15"/>
  <c r="I745" i="15"/>
  <c r="P744" i="15"/>
  <c r="I744" i="15"/>
  <c r="P742" i="15"/>
  <c r="I742" i="15"/>
  <c r="O742" i="15" s="1"/>
  <c r="P741" i="15"/>
  <c r="I741" i="15"/>
  <c r="K741" i="15" s="1"/>
  <c r="P740" i="15"/>
  <c r="I740" i="15"/>
  <c r="O740" i="15" s="1"/>
  <c r="P739" i="15"/>
  <c r="I739" i="15"/>
  <c r="P738" i="15"/>
  <c r="I738" i="15"/>
  <c r="M737" i="15"/>
  <c r="L737" i="15"/>
  <c r="J737" i="15"/>
  <c r="P736" i="15"/>
  <c r="I736" i="15"/>
  <c r="P735" i="15"/>
  <c r="I735" i="15"/>
  <c r="K735" i="15" s="1"/>
  <c r="P734" i="15"/>
  <c r="I734" i="15"/>
  <c r="P733" i="15"/>
  <c r="I733" i="15"/>
  <c r="P732" i="15"/>
  <c r="I732" i="15"/>
  <c r="P731" i="15"/>
  <c r="I731" i="15"/>
  <c r="P730" i="15"/>
  <c r="I730" i="15"/>
  <c r="M729" i="15"/>
  <c r="L729" i="15"/>
  <c r="J729" i="15"/>
  <c r="P728" i="15"/>
  <c r="I728" i="15"/>
  <c r="P727" i="15"/>
  <c r="I727" i="15"/>
  <c r="K727" i="15" s="1"/>
  <c r="P725" i="15"/>
  <c r="O725" i="15"/>
  <c r="K725" i="15"/>
  <c r="M724" i="15"/>
  <c r="L724" i="15"/>
  <c r="J724" i="15"/>
  <c r="I724" i="15"/>
  <c r="P723" i="15"/>
  <c r="O723" i="15"/>
  <c r="K723" i="15"/>
  <c r="M722" i="15"/>
  <c r="L722" i="15"/>
  <c r="J722" i="15"/>
  <c r="I722" i="15"/>
  <c r="P720" i="15"/>
  <c r="I720" i="15"/>
  <c r="P719" i="15"/>
  <c r="O719" i="15"/>
  <c r="K719" i="15"/>
  <c r="P718" i="15"/>
  <c r="I718" i="15"/>
  <c r="P717" i="15"/>
  <c r="I717" i="15"/>
  <c r="O717" i="15" s="1"/>
  <c r="P716" i="15"/>
  <c r="I716" i="15"/>
  <c r="M715" i="15"/>
  <c r="L715" i="15"/>
  <c r="J715" i="15"/>
  <c r="P714" i="15"/>
  <c r="I714" i="15"/>
  <c r="O714" i="15" s="1"/>
  <c r="P713" i="15"/>
  <c r="I713" i="15"/>
  <c r="O713" i="15" s="1"/>
  <c r="P712" i="15"/>
  <c r="I712" i="15"/>
  <c r="K712" i="15" s="1"/>
  <c r="P711" i="15"/>
  <c r="O711" i="15"/>
  <c r="K711" i="15"/>
  <c r="P710" i="15"/>
  <c r="O710" i="15"/>
  <c r="K710" i="15"/>
  <c r="P709" i="15"/>
  <c r="O709" i="15"/>
  <c r="K709" i="15"/>
  <c r="P708" i="15"/>
  <c r="O708" i="15"/>
  <c r="K708" i="15"/>
  <c r="M707" i="15"/>
  <c r="L707" i="15"/>
  <c r="J707" i="15"/>
  <c r="I707" i="15"/>
  <c r="P706" i="15"/>
  <c r="I706" i="15"/>
  <c r="P705" i="15"/>
  <c r="I705" i="15"/>
  <c r="P703" i="15"/>
  <c r="O703" i="15"/>
  <c r="M702" i="15"/>
  <c r="N702" i="15" s="1"/>
  <c r="L702" i="15"/>
  <c r="O702" i="15" s="1"/>
  <c r="P701" i="15"/>
  <c r="I701" i="15"/>
  <c r="P700" i="15"/>
  <c r="I700" i="15"/>
  <c r="O700" i="15" s="1"/>
  <c r="P699" i="15"/>
  <c r="I699" i="15"/>
  <c r="O699" i="15" s="1"/>
  <c r="P698" i="15"/>
  <c r="I698" i="15"/>
  <c r="P697" i="15"/>
  <c r="I697" i="15"/>
  <c r="O697" i="15" s="1"/>
  <c r="M696" i="15"/>
  <c r="L696" i="15"/>
  <c r="J696" i="15"/>
  <c r="P695" i="15"/>
  <c r="I695" i="15"/>
  <c r="P694" i="15"/>
  <c r="I694" i="15"/>
  <c r="O694" i="15" s="1"/>
  <c r="P693" i="15"/>
  <c r="I693" i="15"/>
  <c r="P692" i="15"/>
  <c r="I692" i="15"/>
  <c r="K692" i="15" s="1"/>
  <c r="P691" i="15"/>
  <c r="I691" i="15"/>
  <c r="P690" i="15"/>
  <c r="I690" i="15"/>
  <c r="K690" i="15" s="1"/>
  <c r="M689" i="15"/>
  <c r="L689" i="15"/>
  <c r="L686" i="15" s="1"/>
  <c r="J689" i="15"/>
  <c r="P688" i="15"/>
  <c r="I688" i="15"/>
  <c r="O688" i="15" s="1"/>
  <c r="P687" i="15"/>
  <c r="I687" i="15"/>
  <c r="P685" i="15"/>
  <c r="O685" i="15"/>
  <c r="M684" i="15"/>
  <c r="L684" i="15"/>
  <c r="O684" i="15" s="1"/>
  <c r="P683" i="15"/>
  <c r="O683" i="15"/>
  <c r="K683" i="15"/>
  <c r="P682" i="15"/>
  <c r="I682" i="15"/>
  <c r="P681" i="15"/>
  <c r="I681" i="15"/>
  <c r="P680" i="15"/>
  <c r="I680" i="15"/>
  <c r="P679" i="15"/>
  <c r="I679" i="15"/>
  <c r="M678" i="15"/>
  <c r="L678" i="15"/>
  <c r="J678" i="15"/>
  <c r="P677" i="15"/>
  <c r="I677" i="15"/>
  <c r="P676" i="15"/>
  <c r="I676" i="15"/>
  <c r="O676" i="15" s="1"/>
  <c r="P674" i="15"/>
  <c r="I674" i="15"/>
  <c r="P673" i="15"/>
  <c r="O673" i="15"/>
  <c r="K673" i="15"/>
  <c r="P672" i="15"/>
  <c r="O672" i="15"/>
  <c r="K672" i="15"/>
  <c r="M671" i="15"/>
  <c r="M668" i="15" s="1"/>
  <c r="L671" i="15"/>
  <c r="J671" i="15"/>
  <c r="P670" i="15"/>
  <c r="I670" i="15"/>
  <c r="O670" i="15" s="1"/>
  <c r="P669" i="15"/>
  <c r="I669" i="15"/>
  <c r="K669" i="15" s="1"/>
  <c r="P667" i="15"/>
  <c r="O667" i="15"/>
  <c r="K667" i="15"/>
  <c r="P666" i="15"/>
  <c r="I666" i="15"/>
  <c r="K666" i="15" s="1"/>
  <c r="P665" i="15"/>
  <c r="O665" i="15"/>
  <c r="K665" i="15"/>
  <c r="P664" i="15"/>
  <c r="I664" i="15"/>
  <c r="M663" i="15"/>
  <c r="L663" i="15"/>
  <c r="J663" i="15"/>
  <c r="J660" i="15" s="1"/>
  <c r="P662" i="15"/>
  <c r="I662" i="15"/>
  <c r="O662" i="15" s="1"/>
  <c r="P661" i="15"/>
  <c r="I661" i="15"/>
  <c r="K661" i="15" s="1"/>
  <c r="P659" i="15"/>
  <c r="I659" i="15"/>
  <c r="P658" i="15"/>
  <c r="I658" i="15"/>
  <c r="P657" i="15"/>
  <c r="I657" i="15"/>
  <c r="K657" i="15" s="1"/>
  <c r="M656" i="15"/>
  <c r="L656" i="15"/>
  <c r="J656" i="15"/>
  <c r="J653" i="15" s="1"/>
  <c r="P655" i="15"/>
  <c r="I655" i="15"/>
  <c r="O655" i="15" s="1"/>
  <c r="P654" i="15"/>
  <c r="I654" i="15"/>
  <c r="P652" i="15"/>
  <c r="I652" i="15"/>
  <c r="P651" i="15"/>
  <c r="I651" i="15"/>
  <c r="P650" i="15"/>
  <c r="I650" i="15"/>
  <c r="M649" i="15"/>
  <c r="M646" i="15" s="1"/>
  <c r="L649" i="15"/>
  <c r="J649" i="15"/>
  <c r="J646" i="15" s="1"/>
  <c r="P648" i="15"/>
  <c r="I648" i="15"/>
  <c r="P647" i="15"/>
  <c r="I647" i="15"/>
  <c r="P645" i="15"/>
  <c r="I645" i="15"/>
  <c r="O645" i="15" s="1"/>
  <c r="P644" i="15"/>
  <c r="I644" i="15"/>
  <c r="P643" i="15"/>
  <c r="I643" i="15"/>
  <c r="O643" i="15" s="1"/>
  <c r="P642" i="15"/>
  <c r="I642" i="15"/>
  <c r="M641" i="15"/>
  <c r="M638" i="15" s="1"/>
  <c r="L641" i="15"/>
  <c r="L638" i="15" s="1"/>
  <c r="J641" i="15"/>
  <c r="P640" i="15"/>
  <c r="I640" i="15"/>
  <c r="K640" i="15" s="1"/>
  <c r="P639" i="15"/>
  <c r="I639" i="15"/>
  <c r="O639" i="15" s="1"/>
  <c r="P637" i="15"/>
  <c r="I637" i="15"/>
  <c r="P636" i="15"/>
  <c r="I636" i="15"/>
  <c r="P635" i="15"/>
  <c r="I635" i="15"/>
  <c r="M634" i="15"/>
  <c r="M631" i="15" s="1"/>
  <c r="L634" i="15"/>
  <c r="L631" i="15" s="1"/>
  <c r="J634" i="15"/>
  <c r="P633" i="15"/>
  <c r="I633" i="15"/>
  <c r="P632" i="15"/>
  <c r="I632" i="15"/>
  <c r="P630" i="15"/>
  <c r="O630" i="15"/>
  <c r="K630" i="15"/>
  <c r="P629" i="15"/>
  <c r="I629" i="15"/>
  <c r="K629" i="15" s="1"/>
  <c r="P628" i="15"/>
  <c r="I628" i="15"/>
  <c r="P627" i="15"/>
  <c r="I627" i="15"/>
  <c r="O627" i="15" s="1"/>
  <c r="M626" i="15"/>
  <c r="L626" i="15"/>
  <c r="J626" i="15"/>
  <c r="P625" i="15"/>
  <c r="I625" i="15"/>
  <c r="P624" i="15"/>
  <c r="I624" i="15"/>
  <c r="O624" i="15" s="1"/>
  <c r="P622" i="15"/>
  <c r="I622" i="15"/>
  <c r="O622" i="15" s="1"/>
  <c r="P621" i="15"/>
  <c r="I621" i="15"/>
  <c r="K621" i="15" s="1"/>
  <c r="P620" i="15"/>
  <c r="I620" i="15"/>
  <c r="K620" i="15" s="1"/>
  <c r="P619" i="15"/>
  <c r="I619" i="15"/>
  <c r="O619" i="15" s="1"/>
  <c r="M618" i="15"/>
  <c r="L618" i="15"/>
  <c r="J618" i="15"/>
  <c r="J615" i="15" s="1"/>
  <c r="P615" i="15" s="1"/>
  <c r="P617" i="15"/>
  <c r="I617" i="15"/>
  <c r="P616" i="15"/>
  <c r="I616" i="15"/>
  <c r="P614" i="15"/>
  <c r="I614" i="15"/>
  <c r="K614" i="15" s="1"/>
  <c r="P613" i="15"/>
  <c r="O613" i="15"/>
  <c r="K613" i="15"/>
  <c r="P612" i="15"/>
  <c r="I612" i="15"/>
  <c r="M611" i="15"/>
  <c r="L611" i="15"/>
  <c r="J611" i="15"/>
  <c r="J608" i="15" s="1"/>
  <c r="P608" i="15" s="1"/>
  <c r="P610" i="15"/>
  <c r="I610" i="15"/>
  <c r="O610" i="15" s="1"/>
  <c r="P609" i="15"/>
  <c r="I609" i="15"/>
  <c r="K609" i="15" s="1"/>
  <c r="P607" i="15"/>
  <c r="I607" i="15"/>
  <c r="P606" i="15"/>
  <c r="O606" i="15"/>
  <c r="K606" i="15"/>
  <c r="P605" i="15"/>
  <c r="I605" i="15"/>
  <c r="M604" i="15"/>
  <c r="L604" i="15"/>
  <c r="L601" i="15" s="1"/>
  <c r="J604" i="15"/>
  <c r="J601" i="15" s="1"/>
  <c r="P603" i="15"/>
  <c r="I603" i="15"/>
  <c r="O603" i="15" s="1"/>
  <c r="P602" i="15"/>
  <c r="I602" i="15"/>
  <c r="P600" i="15"/>
  <c r="O600" i="15"/>
  <c r="K600" i="15"/>
  <c r="P599" i="15"/>
  <c r="I599" i="15"/>
  <c r="P598" i="15"/>
  <c r="I598" i="15"/>
  <c r="O598" i="15" s="1"/>
  <c r="P597" i="15"/>
  <c r="I597" i="15"/>
  <c r="M596" i="15"/>
  <c r="L596" i="15"/>
  <c r="J596" i="15"/>
  <c r="P595" i="15"/>
  <c r="I595" i="15"/>
  <c r="P594" i="15"/>
  <c r="I594" i="15"/>
  <c r="O594" i="15" s="1"/>
  <c r="P592" i="15"/>
  <c r="O592" i="15"/>
  <c r="K592" i="15"/>
  <c r="P591" i="15"/>
  <c r="I591" i="15"/>
  <c r="P590" i="15"/>
  <c r="I590" i="15"/>
  <c r="P589" i="15"/>
  <c r="I589" i="15"/>
  <c r="M588" i="15"/>
  <c r="L588" i="15"/>
  <c r="J588" i="15"/>
  <c r="J585" i="15" s="1"/>
  <c r="P585" i="15" s="1"/>
  <c r="P587" i="15"/>
  <c r="I587" i="15"/>
  <c r="P586" i="15"/>
  <c r="I586" i="15"/>
  <c r="P584" i="15"/>
  <c r="I584" i="15"/>
  <c r="P583" i="15"/>
  <c r="O583" i="15"/>
  <c r="K583" i="15"/>
  <c r="P582" i="15"/>
  <c r="I582" i="15"/>
  <c r="M581" i="15"/>
  <c r="M578" i="15" s="1"/>
  <c r="L581" i="15"/>
  <c r="L578" i="15" s="1"/>
  <c r="J581" i="15"/>
  <c r="P580" i="15"/>
  <c r="I580" i="15"/>
  <c r="K580" i="15" s="1"/>
  <c r="P579" i="15"/>
  <c r="I579" i="15"/>
  <c r="K579" i="15" s="1"/>
  <c r="P576" i="15"/>
  <c r="O576" i="15"/>
  <c r="K576" i="15"/>
  <c r="P575" i="15"/>
  <c r="O575" i="15"/>
  <c r="K575" i="15"/>
  <c r="K574" i="15"/>
  <c r="P573" i="15"/>
  <c r="I573" i="15"/>
  <c r="O573" i="15" s="1"/>
  <c r="P572" i="15"/>
  <c r="O572" i="15"/>
  <c r="K572" i="15"/>
  <c r="P571" i="15"/>
  <c r="O571" i="15"/>
  <c r="K571" i="15"/>
  <c r="J570" i="15"/>
  <c r="P570" i="15" s="1"/>
  <c r="P568" i="15"/>
  <c r="O568" i="15"/>
  <c r="M567" i="15"/>
  <c r="L567" i="15"/>
  <c r="O567" i="15" s="1"/>
  <c r="P566" i="15"/>
  <c r="I566" i="15"/>
  <c r="P565" i="15"/>
  <c r="I565" i="15"/>
  <c r="P564" i="15"/>
  <c r="I564" i="15"/>
  <c r="P563" i="15"/>
  <c r="I563" i="15"/>
  <c r="K563" i="15" s="1"/>
  <c r="P562" i="15"/>
  <c r="I562" i="15"/>
  <c r="P561" i="15"/>
  <c r="I561" i="15"/>
  <c r="K561" i="15" s="1"/>
  <c r="P560" i="15"/>
  <c r="I560" i="15"/>
  <c r="O560" i="15" s="1"/>
  <c r="M559" i="15"/>
  <c r="L559" i="15"/>
  <c r="J559" i="15"/>
  <c r="J556" i="15" s="1"/>
  <c r="P558" i="15"/>
  <c r="I558" i="15"/>
  <c r="P557" i="15"/>
  <c r="I557" i="15"/>
  <c r="P555" i="15"/>
  <c r="I555" i="15"/>
  <c r="K555" i="15" s="1"/>
  <c r="P554" i="15"/>
  <c r="I554" i="15"/>
  <c r="P553" i="15"/>
  <c r="I553" i="15"/>
  <c r="M552" i="15"/>
  <c r="L552" i="15"/>
  <c r="J552" i="15"/>
  <c r="J549" i="15" s="1"/>
  <c r="P551" i="15"/>
  <c r="O551" i="15"/>
  <c r="K551" i="15"/>
  <c r="P550" i="15"/>
  <c r="O550" i="15"/>
  <c r="K550" i="15"/>
  <c r="P548" i="15"/>
  <c r="O548" i="15"/>
  <c r="K548" i="15"/>
  <c r="P547" i="15"/>
  <c r="O547" i="15"/>
  <c r="K547" i="15"/>
  <c r="P546" i="15"/>
  <c r="O546" i="15"/>
  <c r="K546" i="15"/>
  <c r="P545" i="15"/>
  <c r="O545" i="15"/>
  <c r="K545" i="15"/>
  <c r="M544" i="15"/>
  <c r="L544" i="15"/>
  <c r="J544" i="15"/>
  <c r="J541" i="15" s="1"/>
  <c r="I544" i="15"/>
  <c r="P543" i="15"/>
  <c r="I543" i="15"/>
  <c r="O543" i="15" s="1"/>
  <c r="P542" i="15"/>
  <c r="I542" i="15"/>
  <c r="M541" i="15"/>
  <c r="P540" i="15"/>
  <c r="I540" i="15"/>
  <c r="O540" i="15" s="1"/>
  <c r="P539" i="15"/>
  <c r="I539" i="15"/>
  <c r="P538" i="15"/>
  <c r="I538" i="15"/>
  <c r="O538" i="15" s="1"/>
  <c r="P537" i="15"/>
  <c r="I537" i="15"/>
  <c r="M536" i="15"/>
  <c r="M533" i="15" s="1"/>
  <c r="L536" i="15"/>
  <c r="L533" i="15" s="1"/>
  <c r="J536" i="15"/>
  <c r="P535" i="15"/>
  <c r="I535" i="15"/>
  <c r="K535" i="15" s="1"/>
  <c r="P534" i="15"/>
  <c r="I534" i="15"/>
  <c r="K534" i="15" s="1"/>
  <c r="P532" i="15"/>
  <c r="I532" i="15"/>
  <c r="P531" i="15"/>
  <c r="I531" i="15"/>
  <c r="O531" i="15" s="1"/>
  <c r="P530" i="15"/>
  <c r="O530" i="15"/>
  <c r="K530" i="15"/>
  <c r="M529" i="15"/>
  <c r="M526" i="15" s="1"/>
  <c r="L529" i="15"/>
  <c r="L526" i="15" s="1"/>
  <c r="J529" i="15"/>
  <c r="J526" i="15" s="1"/>
  <c r="P528" i="15"/>
  <c r="I528" i="15"/>
  <c r="K528" i="15" s="1"/>
  <c r="P527" i="15"/>
  <c r="I527" i="15"/>
  <c r="P525" i="15"/>
  <c r="I525" i="15"/>
  <c r="P524" i="15"/>
  <c r="I524" i="15"/>
  <c r="P523" i="15"/>
  <c r="I523" i="15"/>
  <c r="P522" i="15"/>
  <c r="I522" i="15"/>
  <c r="K522" i="15" s="1"/>
  <c r="M521" i="15"/>
  <c r="L521" i="15"/>
  <c r="J521" i="15"/>
  <c r="J518" i="15" s="1"/>
  <c r="P520" i="15"/>
  <c r="I520" i="15"/>
  <c r="O520" i="15" s="1"/>
  <c r="P519" i="15"/>
  <c r="I519" i="15"/>
  <c r="P517" i="15"/>
  <c r="I517" i="15"/>
  <c r="K517" i="15" s="1"/>
  <c r="P516" i="15"/>
  <c r="I516" i="15"/>
  <c r="K515" i="15"/>
  <c r="P514" i="15"/>
  <c r="O514" i="15"/>
  <c r="K514" i="15"/>
  <c r="P513" i="15"/>
  <c r="O513" i="15"/>
  <c r="K513" i="15"/>
  <c r="M512" i="15"/>
  <c r="M509" i="15" s="1"/>
  <c r="L512" i="15"/>
  <c r="L509" i="15" s="1"/>
  <c r="J512" i="15"/>
  <c r="P511" i="15"/>
  <c r="I511" i="15"/>
  <c r="P510" i="15"/>
  <c r="I510" i="15"/>
  <c r="K510" i="15" s="1"/>
  <c r="P508" i="15"/>
  <c r="I508" i="15"/>
  <c r="P507" i="15"/>
  <c r="I507" i="15"/>
  <c r="O507" i="15" s="1"/>
  <c r="P506" i="15"/>
  <c r="I506" i="15"/>
  <c r="P505" i="15"/>
  <c r="I505" i="15"/>
  <c r="O505" i="15" s="1"/>
  <c r="M504" i="15"/>
  <c r="L504" i="15"/>
  <c r="J504" i="15"/>
  <c r="J501" i="15" s="1"/>
  <c r="P503" i="15"/>
  <c r="O503" i="15"/>
  <c r="K503" i="15"/>
  <c r="P502" i="15"/>
  <c r="O502" i="15"/>
  <c r="K502" i="15"/>
  <c r="P500" i="15"/>
  <c r="I500" i="15"/>
  <c r="P499" i="15"/>
  <c r="O499" i="15"/>
  <c r="K499" i="15"/>
  <c r="P498" i="15"/>
  <c r="O498" i="15"/>
  <c r="K498" i="15"/>
  <c r="P497" i="15"/>
  <c r="I497" i="15"/>
  <c r="I496" i="15" s="1"/>
  <c r="M496" i="15"/>
  <c r="L496" i="15"/>
  <c r="L493" i="15" s="1"/>
  <c r="J496" i="15"/>
  <c r="P495" i="15"/>
  <c r="I495" i="15"/>
  <c r="O495" i="15" s="1"/>
  <c r="P494" i="15"/>
  <c r="I494" i="15"/>
  <c r="K494" i="15" s="1"/>
  <c r="P492" i="15"/>
  <c r="O492" i="15"/>
  <c r="K492" i="15"/>
  <c r="P491" i="15"/>
  <c r="O491" i="15"/>
  <c r="K491" i="15"/>
  <c r="P490" i="15"/>
  <c r="O490" i="15"/>
  <c r="K490" i="15"/>
  <c r="M489" i="15"/>
  <c r="M486" i="15" s="1"/>
  <c r="L489" i="15"/>
  <c r="J489" i="15"/>
  <c r="J486" i="15" s="1"/>
  <c r="I489" i="15"/>
  <c r="I486" i="15" s="1"/>
  <c r="P488" i="15"/>
  <c r="O488" i="15"/>
  <c r="K488" i="15"/>
  <c r="P487" i="15"/>
  <c r="O487" i="15"/>
  <c r="K487" i="15"/>
  <c r="P485" i="15"/>
  <c r="I485" i="15"/>
  <c r="O485" i="15" s="1"/>
  <c r="P484" i="15"/>
  <c r="I484" i="15"/>
  <c r="O484" i="15" s="1"/>
  <c r="P483" i="15"/>
  <c r="I483" i="15"/>
  <c r="P482" i="15"/>
  <c r="I482" i="15"/>
  <c r="P481" i="15"/>
  <c r="I481" i="15"/>
  <c r="O481" i="15" s="1"/>
  <c r="P480" i="15"/>
  <c r="I480" i="15"/>
  <c r="O480" i="15" s="1"/>
  <c r="P479" i="15"/>
  <c r="I479" i="15"/>
  <c r="K479" i="15" s="1"/>
  <c r="M478" i="15"/>
  <c r="L478" i="15"/>
  <c r="J478" i="15"/>
  <c r="P477" i="15"/>
  <c r="I477" i="15"/>
  <c r="K477" i="15" s="1"/>
  <c r="P476" i="15"/>
  <c r="I476" i="15"/>
  <c r="P474" i="15"/>
  <c r="O474" i="15"/>
  <c r="K474" i="15"/>
  <c r="P473" i="15"/>
  <c r="O473" i="15"/>
  <c r="K473" i="15"/>
  <c r="P472" i="15"/>
  <c r="O472" i="15"/>
  <c r="K472" i="15"/>
  <c r="P471" i="15"/>
  <c r="O471" i="15"/>
  <c r="K471" i="15"/>
  <c r="P470" i="15"/>
  <c r="O470" i="15"/>
  <c r="K470" i="15"/>
  <c r="P469" i="15"/>
  <c r="O469" i="15"/>
  <c r="K469" i="15"/>
  <c r="P468" i="15"/>
  <c r="O468" i="15"/>
  <c r="K468" i="15"/>
  <c r="J467" i="15"/>
  <c r="P467" i="15" s="1"/>
  <c r="I467" i="15"/>
  <c r="P465" i="15"/>
  <c r="O465" i="15"/>
  <c r="P464" i="15"/>
  <c r="L464" i="15"/>
  <c r="N464" i="15" s="1"/>
  <c r="M463" i="15"/>
  <c r="P462" i="15"/>
  <c r="O462" i="15"/>
  <c r="P461" i="15"/>
  <c r="O461" i="15"/>
  <c r="M460" i="15"/>
  <c r="L460" i="15"/>
  <c r="O460" i="15" s="1"/>
  <c r="P458" i="15"/>
  <c r="O458" i="15"/>
  <c r="K458" i="15"/>
  <c r="P456" i="15"/>
  <c r="I456" i="15"/>
  <c r="O456" i="15" s="1"/>
  <c r="P455" i="15"/>
  <c r="I455" i="15"/>
  <c r="P454" i="15"/>
  <c r="I454" i="15"/>
  <c r="P453" i="15"/>
  <c r="I453" i="15"/>
  <c r="O453" i="15" s="1"/>
  <c r="P452" i="15"/>
  <c r="O452" i="15"/>
  <c r="K452" i="15"/>
  <c r="P451" i="15"/>
  <c r="I451" i="15"/>
  <c r="P450" i="15"/>
  <c r="I450" i="15"/>
  <c r="O450" i="15" s="1"/>
  <c r="P448" i="15"/>
  <c r="I448" i="15"/>
  <c r="O448" i="15" s="1"/>
  <c r="P447" i="15"/>
  <c r="I447" i="15"/>
  <c r="P446" i="15"/>
  <c r="L446" i="15"/>
  <c r="M445" i="15"/>
  <c r="J444" i="15"/>
  <c r="I444" i="15"/>
  <c r="P443" i="15"/>
  <c r="I443" i="15"/>
  <c r="P442" i="15"/>
  <c r="I442" i="15"/>
  <c r="P441" i="15"/>
  <c r="I441" i="15"/>
  <c r="P440" i="15"/>
  <c r="I440" i="15"/>
  <c r="P438" i="15"/>
  <c r="I438" i="15"/>
  <c r="P437" i="15"/>
  <c r="I437" i="15"/>
  <c r="K437" i="15" s="1"/>
  <c r="P435" i="15"/>
  <c r="O435" i="15"/>
  <c r="K435" i="15"/>
  <c r="P433" i="15"/>
  <c r="I433" i="15"/>
  <c r="O433" i="15" s="1"/>
  <c r="P432" i="15"/>
  <c r="O432" i="15"/>
  <c r="K432" i="15"/>
  <c r="P431" i="15"/>
  <c r="I431" i="15"/>
  <c r="O431" i="15" s="1"/>
  <c r="P430" i="15"/>
  <c r="I430" i="15"/>
  <c r="P429" i="15"/>
  <c r="I429" i="15"/>
  <c r="K429" i="15" s="1"/>
  <c r="P428" i="15"/>
  <c r="I428" i="15"/>
  <c r="P427" i="15"/>
  <c r="I427" i="15"/>
  <c r="O427" i="15" s="1"/>
  <c r="P426" i="15"/>
  <c r="I426" i="15"/>
  <c r="O426" i="15" s="1"/>
  <c r="P425" i="15"/>
  <c r="I425" i="15"/>
  <c r="O425" i="15" s="1"/>
  <c r="L410" i="15"/>
  <c r="P423" i="15"/>
  <c r="I423" i="15"/>
  <c r="P422" i="15"/>
  <c r="I422" i="15"/>
  <c r="O422" i="15" s="1"/>
  <c r="P421" i="15"/>
  <c r="I421" i="15"/>
  <c r="P420" i="15"/>
  <c r="I420" i="15"/>
  <c r="O420" i="15" s="1"/>
  <c r="P419" i="15"/>
  <c r="O419" i="15"/>
  <c r="K419" i="15"/>
  <c r="P418" i="15"/>
  <c r="O418" i="15"/>
  <c r="K418" i="15"/>
  <c r="P417" i="15"/>
  <c r="I417" i="15"/>
  <c r="O417" i="15" s="1"/>
  <c r="P416" i="15"/>
  <c r="I416" i="15"/>
  <c r="P415" i="15"/>
  <c r="I415" i="15"/>
  <c r="O415" i="15" s="1"/>
  <c r="P414" i="15"/>
  <c r="O414" i="15"/>
  <c r="K414" i="15"/>
  <c r="J413" i="15"/>
  <c r="P412" i="15"/>
  <c r="O412" i="15"/>
  <c r="K412" i="15"/>
  <c r="P411" i="15"/>
  <c r="O411" i="15"/>
  <c r="K411" i="15"/>
  <c r="L409" i="15"/>
  <c r="O409" i="15" s="1"/>
  <c r="P408" i="15"/>
  <c r="L408" i="15"/>
  <c r="N408" i="15" s="1"/>
  <c r="P406" i="15"/>
  <c r="O406" i="15"/>
  <c r="M405" i="15"/>
  <c r="L405" i="15"/>
  <c r="J404" i="15"/>
  <c r="I404" i="15"/>
  <c r="P402" i="15"/>
  <c r="O402" i="15"/>
  <c r="K402" i="15"/>
  <c r="P400" i="15"/>
  <c r="I400" i="15"/>
  <c r="P399" i="15"/>
  <c r="I399" i="15"/>
  <c r="P398" i="15"/>
  <c r="I398" i="15"/>
  <c r="P397" i="15"/>
  <c r="I397" i="15"/>
  <c r="O397" i="15" s="1"/>
  <c r="P396" i="15"/>
  <c r="I396" i="15"/>
  <c r="P395" i="15"/>
  <c r="I395" i="15"/>
  <c r="K395" i="15" s="1"/>
  <c r="P394" i="15"/>
  <c r="I394" i="15"/>
  <c r="P392" i="15"/>
  <c r="I392" i="15"/>
  <c r="P391" i="15"/>
  <c r="I391" i="15"/>
  <c r="O391" i="15" s="1"/>
  <c r="P390" i="15"/>
  <c r="I390" i="15"/>
  <c r="K390" i="15" s="1"/>
  <c r="P389" i="15"/>
  <c r="I389" i="15"/>
  <c r="P388" i="15"/>
  <c r="I388" i="15"/>
  <c r="K388" i="15" s="1"/>
  <c r="P387" i="15"/>
  <c r="I387" i="15"/>
  <c r="P386" i="15"/>
  <c r="I386" i="15"/>
  <c r="P385" i="15"/>
  <c r="I385" i="15"/>
  <c r="O385" i="15" s="1"/>
  <c r="P384" i="15"/>
  <c r="P383" i="15"/>
  <c r="I383" i="15"/>
  <c r="O383" i="15" s="1"/>
  <c r="P382" i="15"/>
  <c r="I382" i="15"/>
  <c r="P380" i="15"/>
  <c r="L380" i="15"/>
  <c r="P378" i="15"/>
  <c r="L378" i="15"/>
  <c r="M377" i="15"/>
  <c r="P376" i="15"/>
  <c r="O376" i="15"/>
  <c r="P375" i="15"/>
  <c r="O375" i="15"/>
  <c r="M374" i="15"/>
  <c r="L374" i="15"/>
  <c r="O374" i="15" s="1"/>
  <c r="P373" i="15"/>
  <c r="O373" i="15"/>
  <c r="M372" i="15"/>
  <c r="L372" i="15"/>
  <c r="O372" i="15" s="1"/>
  <c r="J371" i="15"/>
  <c r="I371" i="15"/>
  <c r="P369" i="15"/>
  <c r="O369" i="15"/>
  <c r="K369" i="15"/>
  <c r="P367" i="15"/>
  <c r="I367" i="15"/>
  <c r="O367" i="15" s="1"/>
  <c r="P366" i="15"/>
  <c r="I366" i="15"/>
  <c r="P365" i="15"/>
  <c r="I365" i="15"/>
  <c r="K365" i="15" s="1"/>
  <c r="P364" i="15"/>
  <c r="O364" i="15"/>
  <c r="K364" i="15"/>
  <c r="P363" i="15"/>
  <c r="O363" i="15"/>
  <c r="K363" i="15"/>
  <c r="P362" i="15"/>
  <c r="I362" i="15"/>
  <c r="K362" i="15" s="1"/>
  <c r="P361" i="15"/>
  <c r="I361" i="15"/>
  <c r="P360" i="15"/>
  <c r="I360" i="15"/>
  <c r="O360" i="15" s="1"/>
  <c r="M359" i="15"/>
  <c r="L359" i="15"/>
  <c r="J359" i="15"/>
  <c r="P358" i="15"/>
  <c r="I358" i="15"/>
  <c r="O358" i="15" s="1"/>
  <c r="P357" i="15"/>
  <c r="I357" i="15"/>
  <c r="P356" i="15"/>
  <c r="I356" i="15"/>
  <c r="O356" i="15" s="1"/>
  <c r="P355" i="15"/>
  <c r="I355" i="15"/>
  <c r="K355" i="15" s="1"/>
  <c r="P354" i="15"/>
  <c r="O354" i="15"/>
  <c r="K354" i="15"/>
  <c r="P353" i="15"/>
  <c r="I353" i="15"/>
  <c r="K353" i="15" s="1"/>
  <c r="P352" i="15"/>
  <c r="I352" i="15"/>
  <c r="P351" i="15"/>
  <c r="I351" i="15"/>
  <c r="O351" i="15" s="1"/>
  <c r="J350" i="15"/>
  <c r="P349" i="15"/>
  <c r="I349" i="15"/>
  <c r="K349" i="15" s="1"/>
  <c r="P348" i="15"/>
  <c r="I348" i="15"/>
  <c r="K348" i="15" s="1"/>
  <c r="P346" i="15"/>
  <c r="O346" i="15"/>
  <c r="L345" i="15"/>
  <c r="P343" i="15"/>
  <c r="L343" i="15"/>
  <c r="M342" i="15"/>
  <c r="J341" i="15"/>
  <c r="I341" i="15"/>
  <c r="P339" i="15"/>
  <c r="O339" i="15"/>
  <c r="K339" i="15"/>
  <c r="P337" i="15"/>
  <c r="I337" i="15"/>
  <c r="P336" i="15"/>
  <c r="O336" i="15"/>
  <c r="K336" i="15"/>
  <c r="P335" i="15"/>
  <c r="I335" i="15"/>
  <c r="P334" i="15"/>
  <c r="I334" i="15"/>
  <c r="O334" i="15" s="1"/>
  <c r="P333" i="15"/>
  <c r="O333" i="15"/>
  <c r="K333" i="15"/>
  <c r="P332" i="15"/>
  <c r="I332" i="15"/>
  <c r="P331" i="15"/>
  <c r="O331" i="15"/>
  <c r="K331" i="15"/>
  <c r="P330" i="15"/>
  <c r="I330" i="15"/>
  <c r="P329" i="15"/>
  <c r="I329" i="15"/>
  <c r="O329" i="15" s="1"/>
  <c r="P328" i="15"/>
  <c r="I328" i="15"/>
  <c r="M327" i="15"/>
  <c r="L327" i="15"/>
  <c r="J327" i="15"/>
  <c r="P326" i="15"/>
  <c r="I326" i="15"/>
  <c r="O326" i="15" s="1"/>
  <c r="P325" i="15"/>
  <c r="I325" i="15"/>
  <c r="O325" i="15" s="1"/>
  <c r="P324" i="15"/>
  <c r="I324" i="15"/>
  <c r="O324" i="15" s="1"/>
  <c r="P323" i="15"/>
  <c r="I323" i="15"/>
  <c r="P322" i="15"/>
  <c r="I322" i="15"/>
  <c r="K322" i="15" s="1"/>
  <c r="P321" i="15"/>
  <c r="O321" i="15"/>
  <c r="K321" i="15"/>
  <c r="P320" i="15"/>
  <c r="I320" i="15"/>
  <c r="O320" i="15" s="1"/>
  <c r="P319" i="15"/>
  <c r="I319" i="15"/>
  <c r="P318" i="15"/>
  <c r="I318" i="15"/>
  <c r="O318" i="15" s="1"/>
  <c r="J317" i="15"/>
  <c r="P316" i="15"/>
  <c r="I316" i="15"/>
  <c r="O316" i="15" s="1"/>
  <c r="P315" i="15"/>
  <c r="I315" i="15"/>
  <c r="O315" i="15" s="1"/>
  <c r="P313" i="15"/>
  <c r="O313" i="15"/>
  <c r="K313" i="15"/>
  <c r="P311" i="15"/>
  <c r="I311" i="15"/>
  <c r="P310" i="15"/>
  <c r="I310" i="15"/>
  <c r="K310" i="15" s="1"/>
  <c r="P309" i="15"/>
  <c r="I309" i="15"/>
  <c r="P308" i="15"/>
  <c r="I308" i="15"/>
  <c r="O308" i="15" s="1"/>
  <c r="P307" i="15"/>
  <c r="I307" i="15"/>
  <c r="P306" i="15"/>
  <c r="I306" i="15"/>
  <c r="O306" i="15" s="1"/>
  <c r="P305" i="15"/>
  <c r="I305" i="15"/>
  <c r="M290" i="15"/>
  <c r="L290" i="15"/>
  <c r="L289" i="15" s="1"/>
  <c r="O289" i="15" s="1"/>
  <c r="P303" i="15"/>
  <c r="I303" i="15"/>
  <c r="K303" i="15" s="1"/>
  <c r="P302" i="15"/>
  <c r="I302" i="15"/>
  <c r="O302" i="15" s="1"/>
  <c r="P301" i="15"/>
  <c r="I301" i="15"/>
  <c r="K301" i="15" s="1"/>
  <c r="P300" i="15"/>
  <c r="I300" i="15"/>
  <c r="P299" i="15"/>
  <c r="I299" i="15"/>
  <c r="K299" i="15" s="1"/>
  <c r="P298" i="15"/>
  <c r="I298" i="15"/>
  <c r="O298" i="15" s="1"/>
  <c r="P297" i="15"/>
  <c r="I297" i="15"/>
  <c r="K297" i="15" s="1"/>
  <c r="P296" i="15"/>
  <c r="P295" i="15"/>
  <c r="I295" i="15"/>
  <c r="P294" i="15"/>
  <c r="I294" i="15"/>
  <c r="O294" i="15" s="1"/>
  <c r="P292" i="15"/>
  <c r="O292" i="15"/>
  <c r="P291" i="15"/>
  <c r="O291" i="15"/>
  <c r="P288" i="15"/>
  <c r="O288" i="15"/>
  <c r="M287" i="15"/>
  <c r="L287" i="15"/>
  <c r="O287" i="15" s="1"/>
  <c r="P284" i="15"/>
  <c r="O284" i="15"/>
  <c r="K284" i="15"/>
  <c r="P282" i="15"/>
  <c r="I282" i="15"/>
  <c r="K282" i="15" s="1"/>
  <c r="P281" i="15"/>
  <c r="I281" i="15"/>
  <c r="P280" i="15"/>
  <c r="I280" i="15"/>
  <c r="O280" i="15" s="1"/>
  <c r="P279" i="15"/>
  <c r="I279" i="15"/>
  <c r="P278" i="15"/>
  <c r="I278" i="15"/>
  <c r="O278" i="15" s="1"/>
  <c r="P277" i="15"/>
  <c r="I277" i="15"/>
  <c r="P276" i="15"/>
  <c r="I276" i="15"/>
  <c r="O276" i="15" s="1"/>
  <c r="M275" i="15"/>
  <c r="L275" i="15"/>
  <c r="J275" i="15"/>
  <c r="P274" i="15"/>
  <c r="I274" i="15"/>
  <c r="O274" i="15" s="1"/>
  <c r="P273" i="15"/>
  <c r="I273" i="15"/>
  <c r="K273" i="15" s="1"/>
  <c r="P272" i="15"/>
  <c r="I272" i="15"/>
  <c r="O272" i="15" s="1"/>
  <c r="P271" i="15"/>
  <c r="I271" i="15"/>
  <c r="K271" i="15" s="1"/>
  <c r="P270" i="15"/>
  <c r="I270" i="15"/>
  <c r="O270" i="15" s="1"/>
  <c r="P269" i="15"/>
  <c r="I269" i="15"/>
  <c r="K269" i="15" s="1"/>
  <c r="P268" i="15"/>
  <c r="I268" i="15"/>
  <c r="O268" i="15" s="1"/>
  <c r="P267" i="15"/>
  <c r="O267" i="15"/>
  <c r="K267" i="15"/>
  <c r="J266" i="15"/>
  <c r="P265" i="15"/>
  <c r="I265" i="15"/>
  <c r="K265" i="15" s="1"/>
  <c r="P264" i="15"/>
  <c r="I264" i="15"/>
  <c r="K264" i="15" s="1"/>
  <c r="P262" i="15"/>
  <c r="O262" i="15"/>
  <c r="K262" i="15"/>
  <c r="P260" i="15"/>
  <c r="I260" i="15"/>
  <c r="O260" i="15" s="1"/>
  <c r="P259" i="15"/>
  <c r="I259" i="15"/>
  <c r="P258" i="15"/>
  <c r="I258" i="15"/>
  <c r="P257" i="15"/>
  <c r="I257" i="15"/>
  <c r="P256" i="15"/>
  <c r="I256" i="15"/>
  <c r="O256" i="15" s="1"/>
  <c r="P255" i="15"/>
  <c r="I255" i="15"/>
  <c r="P254" i="15"/>
  <c r="I254" i="15"/>
  <c r="O254" i="15" s="1"/>
  <c r="M241" i="15"/>
  <c r="L241" i="15"/>
  <c r="P252" i="15"/>
  <c r="I252" i="15"/>
  <c r="O252" i="15" s="1"/>
  <c r="P251" i="15"/>
  <c r="I251" i="15"/>
  <c r="K251" i="15" s="1"/>
  <c r="P250" i="15"/>
  <c r="I250" i="15"/>
  <c r="O250" i="15" s="1"/>
  <c r="P249" i="15"/>
  <c r="I249" i="15"/>
  <c r="P248" i="15"/>
  <c r="I248" i="15"/>
  <c r="K248" i="15" s="1"/>
  <c r="K247" i="15"/>
  <c r="P246" i="15"/>
  <c r="I246" i="15"/>
  <c r="O246" i="15" s="1"/>
  <c r="P245" i="15"/>
  <c r="I245" i="15"/>
  <c r="K245" i="15" s="1"/>
  <c r="P244" i="15"/>
  <c r="P243" i="15"/>
  <c r="I243" i="15"/>
  <c r="P242" i="15"/>
  <c r="I242" i="15"/>
  <c r="O242" i="15" s="1"/>
  <c r="O240" i="15"/>
  <c r="L239" i="15"/>
  <c r="O239" i="15" s="1"/>
  <c r="P238" i="15"/>
  <c r="O238" i="15"/>
  <c r="M237" i="15"/>
  <c r="L237" i="15"/>
  <c r="O237" i="15" s="1"/>
  <c r="J236" i="15"/>
  <c r="I236" i="15"/>
  <c r="P235" i="15"/>
  <c r="O235" i="15"/>
  <c r="K235" i="15"/>
  <c r="P234" i="15"/>
  <c r="I234" i="15"/>
  <c r="O234" i="15" s="1"/>
  <c r="K233" i="15"/>
  <c r="P232" i="15"/>
  <c r="O232" i="15"/>
  <c r="K232" i="15"/>
  <c r="P231" i="15"/>
  <c r="I231" i="15"/>
  <c r="K231" i="15" s="1"/>
  <c r="P230" i="15"/>
  <c r="I230" i="15"/>
  <c r="O230" i="15" s="1"/>
  <c r="J229" i="15"/>
  <c r="P229" i="15" s="1"/>
  <c r="P228" i="15"/>
  <c r="I228" i="15"/>
  <c r="O228" i="15" s="1"/>
  <c r="P227" i="15"/>
  <c r="I227" i="15"/>
  <c r="P224" i="15"/>
  <c r="O224" i="15"/>
  <c r="K224" i="15"/>
  <c r="P223" i="15"/>
  <c r="O223" i="15"/>
  <c r="P222" i="15"/>
  <c r="O222" i="15"/>
  <c r="K222" i="15"/>
  <c r="J221" i="15"/>
  <c r="P221" i="15" s="1"/>
  <c r="I221" i="15"/>
  <c r="O221" i="15" s="1"/>
  <c r="P219" i="15"/>
  <c r="L219" i="15"/>
  <c r="N219" i="15" s="1"/>
  <c r="M218" i="15"/>
  <c r="J217" i="15"/>
  <c r="I217" i="15"/>
  <c r="P216" i="15"/>
  <c r="I216" i="15"/>
  <c r="P215" i="15"/>
  <c r="I215" i="15"/>
  <c r="O215" i="15" s="1"/>
  <c r="P214" i="15"/>
  <c r="O214" i="15"/>
  <c r="K214" i="15"/>
  <c r="P213" i="15"/>
  <c r="I213" i="15"/>
  <c r="P212" i="15"/>
  <c r="I212" i="15"/>
  <c r="K212" i="15" s="1"/>
  <c r="P211" i="15"/>
  <c r="I211" i="15"/>
  <c r="O211" i="15" s="1"/>
  <c r="M210" i="15"/>
  <c r="L210" i="15"/>
  <c r="J210" i="15"/>
  <c r="P209" i="15"/>
  <c r="I209" i="15"/>
  <c r="P208" i="15"/>
  <c r="I208" i="15"/>
  <c r="O208" i="15" s="1"/>
  <c r="P206" i="15"/>
  <c r="O206" i="15"/>
  <c r="M205" i="15"/>
  <c r="N205" i="15" s="1"/>
  <c r="L205" i="15"/>
  <c r="O205" i="15" s="1"/>
  <c r="J204" i="15"/>
  <c r="I204" i="15"/>
  <c r="P203" i="15"/>
  <c r="I203" i="15"/>
  <c r="O203" i="15" s="1"/>
  <c r="P202" i="15"/>
  <c r="O202" i="15"/>
  <c r="K202" i="15"/>
  <c r="P201" i="15"/>
  <c r="I201" i="15"/>
  <c r="O201" i="15" s="1"/>
  <c r="P200" i="15"/>
  <c r="O200" i="15"/>
  <c r="K200" i="15"/>
  <c r="P199" i="15"/>
  <c r="I199" i="15"/>
  <c r="O199" i="15" s="1"/>
  <c r="P198" i="15"/>
  <c r="I198" i="15"/>
  <c r="K198" i="15" s="1"/>
  <c r="M197" i="15"/>
  <c r="L197" i="15"/>
  <c r="J197" i="15"/>
  <c r="P196" i="15"/>
  <c r="I196" i="15"/>
  <c r="O196" i="15" s="1"/>
  <c r="P195" i="15"/>
  <c r="I195" i="15"/>
  <c r="P193" i="15"/>
  <c r="O193" i="15"/>
  <c r="K193" i="15"/>
  <c r="P192" i="15"/>
  <c r="I192" i="15"/>
  <c r="P191" i="15"/>
  <c r="O191" i="15"/>
  <c r="K191" i="15"/>
  <c r="P190" i="15"/>
  <c r="I190" i="15"/>
  <c r="O190" i="15" s="1"/>
  <c r="P189" i="15"/>
  <c r="I189" i="15"/>
  <c r="O189" i="15" s="1"/>
  <c r="M188" i="15"/>
  <c r="M185" i="15" s="1"/>
  <c r="L188" i="15"/>
  <c r="L185" i="15" s="1"/>
  <c r="J188" i="15"/>
  <c r="J185" i="15" s="1"/>
  <c r="P187" i="15"/>
  <c r="I187" i="15"/>
  <c r="P186" i="15"/>
  <c r="I186" i="15"/>
  <c r="O186" i="15" s="1"/>
  <c r="P184" i="15"/>
  <c r="I184" i="15"/>
  <c r="P183" i="15"/>
  <c r="I183" i="15"/>
  <c r="K183" i="15" s="1"/>
  <c r="P182" i="15"/>
  <c r="I182" i="15"/>
  <c r="O182" i="15" s="1"/>
  <c r="P180" i="15"/>
  <c r="I180" i="15"/>
  <c r="P179" i="15"/>
  <c r="I179" i="15"/>
  <c r="K179" i="15" s="1"/>
  <c r="P177" i="15"/>
  <c r="O177" i="15"/>
  <c r="M176" i="15"/>
  <c r="L176" i="15"/>
  <c r="O176" i="15" s="1"/>
  <c r="P174" i="15"/>
  <c r="O174" i="15"/>
  <c r="K174" i="15"/>
  <c r="P173" i="15"/>
  <c r="O173" i="15"/>
  <c r="K173" i="15"/>
  <c r="P172" i="15"/>
  <c r="O172" i="15"/>
  <c r="K172" i="15"/>
  <c r="P171" i="15"/>
  <c r="I171" i="15"/>
  <c r="O171" i="15" s="1"/>
  <c r="P170" i="15"/>
  <c r="I170" i="15"/>
  <c r="J169" i="15"/>
  <c r="P169" i="15" s="1"/>
  <c r="P168" i="15"/>
  <c r="I168" i="15"/>
  <c r="O168" i="15" s="1"/>
  <c r="P167" i="15"/>
  <c r="I167" i="15"/>
  <c r="O167" i="15" s="1"/>
  <c r="P165" i="15"/>
  <c r="O165" i="15"/>
  <c r="M164" i="15"/>
  <c r="L164" i="15"/>
  <c r="L163" i="15" s="1"/>
  <c r="P162" i="15"/>
  <c r="I162" i="15"/>
  <c r="O162" i="15" s="1"/>
  <c r="P161" i="15"/>
  <c r="O161" i="15"/>
  <c r="K161" i="15"/>
  <c r="P160" i="15"/>
  <c r="O160" i="15"/>
  <c r="K160" i="15"/>
  <c r="P159" i="15"/>
  <c r="I159" i="15"/>
  <c r="O159" i="15" s="1"/>
  <c r="P158" i="15"/>
  <c r="I158" i="15"/>
  <c r="P157" i="15"/>
  <c r="I157" i="15"/>
  <c r="K157" i="15" s="1"/>
  <c r="P155" i="15"/>
  <c r="I155" i="15"/>
  <c r="K155" i="15" s="1"/>
  <c r="P154" i="15"/>
  <c r="I154" i="15"/>
  <c r="O154" i="15" s="1"/>
  <c r="P152" i="15"/>
  <c r="O152" i="15"/>
  <c r="P150" i="15"/>
  <c r="O150" i="15"/>
  <c r="M149" i="15"/>
  <c r="L149" i="15"/>
  <c r="O149" i="15" s="1"/>
  <c r="P147" i="15"/>
  <c r="I147" i="15"/>
  <c r="O147" i="15" s="1"/>
  <c r="P146" i="15"/>
  <c r="I146" i="15"/>
  <c r="O146" i="15" s="1"/>
  <c r="P145" i="15"/>
  <c r="O145" i="15"/>
  <c r="K145" i="15"/>
  <c r="P144" i="15"/>
  <c r="I144" i="15"/>
  <c r="P143" i="15"/>
  <c r="I143" i="15"/>
  <c r="O143" i="15" s="1"/>
  <c r="P142" i="15"/>
  <c r="I142" i="15"/>
  <c r="J141" i="15"/>
  <c r="P141" i="15" s="1"/>
  <c r="P140" i="15"/>
  <c r="I140" i="15"/>
  <c r="O140" i="15" s="1"/>
  <c r="P139" i="15"/>
  <c r="I139" i="15"/>
  <c r="O139" i="15" s="1"/>
  <c r="L137" i="15"/>
  <c r="L136" i="15" s="1"/>
  <c r="O136" i="15" s="1"/>
  <c r="P135" i="15"/>
  <c r="L135" i="15"/>
  <c r="N135" i="15" s="1"/>
  <c r="M134" i="15"/>
  <c r="J133" i="15"/>
  <c r="I133" i="15"/>
  <c r="P132" i="15"/>
  <c r="I132" i="15"/>
  <c r="P131" i="15"/>
  <c r="O131" i="15"/>
  <c r="K131" i="15"/>
  <c r="P130" i="15"/>
  <c r="I130" i="15"/>
  <c r="P129" i="15"/>
  <c r="I129" i="15"/>
  <c r="K129" i="15" s="1"/>
  <c r="P128" i="15"/>
  <c r="I128" i="15"/>
  <c r="O128" i="15" s="1"/>
  <c r="P127" i="15"/>
  <c r="O127" i="15"/>
  <c r="K127" i="15"/>
  <c r="J126" i="15"/>
  <c r="P126" i="15" s="1"/>
  <c r="P125" i="15"/>
  <c r="I125" i="15"/>
  <c r="O125" i="15" s="1"/>
  <c r="P124" i="15"/>
  <c r="I124" i="15"/>
  <c r="O124" i="15" s="1"/>
  <c r="P122" i="15"/>
  <c r="L122" i="15"/>
  <c r="N122" i="15" s="1"/>
  <c r="M121" i="15"/>
  <c r="P121" i="15" s="1"/>
  <c r="J120" i="15"/>
  <c r="I120" i="15"/>
  <c r="P119" i="15"/>
  <c r="I119" i="15"/>
  <c r="P118" i="15"/>
  <c r="O118" i="15"/>
  <c r="K118" i="15"/>
  <c r="P117" i="15"/>
  <c r="I117" i="15"/>
  <c r="O117" i="15" s="1"/>
  <c r="P116" i="15"/>
  <c r="I116" i="15"/>
  <c r="K116" i="15" s="1"/>
  <c r="P115" i="15"/>
  <c r="I115" i="15"/>
  <c r="K115" i="15" s="1"/>
  <c r="P114" i="15"/>
  <c r="O114" i="15"/>
  <c r="K114" i="15"/>
  <c r="J113" i="15"/>
  <c r="J110" i="15" s="1"/>
  <c r="P112" i="15"/>
  <c r="I112" i="15"/>
  <c r="O112" i="15" s="1"/>
  <c r="P111" i="15"/>
  <c r="I111" i="15"/>
  <c r="K111" i="15" s="1"/>
  <c r="P109" i="15"/>
  <c r="L109" i="15"/>
  <c r="M108" i="15"/>
  <c r="P108" i="15" s="1"/>
  <c r="J107" i="15"/>
  <c r="I107" i="15"/>
  <c r="P106" i="15"/>
  <c r="I106" i="15"/>
  <c r="K106" i="15" s="1"/>
  <c r="P105" i="15"/>
  <c r="O105" i="15"/>
  <c r="K105" i="15"/>
  <c r="P104" i="15"/>
  <c r="I104" i="15"/>
  <c r="O104" i="15" s="1"/>
  <c r="P103" i="15"/>
  <c r="I103" i="15"/>
  <c r="K103" i="15" s="1"/>
  <c r="P102" i="15"/>
  <c r="I102" i="15"/>
  <c r="K102" i="15" s="1"/>
  <c r="M101" i="15"/>
  <c r="L101" i="15"/>
  <c r="J101" i="15"/>
  <c r="P100" i="15"/>
  <c r="I100" i="15"/>
  <c r="K100" i="15" s="1"/>
  <c r="P99" i="15"/>
  <c r="I99" i="15"/>
  <c r="K99" i="15" s="1"/>
  <c r="P97" i="15"/>
  <c r="I97" i="15"/>
  <c r="K97" i="15" s="1"/>
  <c r="P96" i="15"/>
  <c r="I96" i="15"/>
  <c r="K96" i="15" s="1"/>
  <c r="P95" i="15"/>
  <c r="I95" i="15"/>
  <c r="K95" i="15" s="1"/>
  <c r="P94" i="15"/>
  <c r="I94" i="15"/>
  <c r="O94" i="15" s="1"/>
  <c r="P93" i="15"/>
  <c r="I93" i="15"/>
  <c r="K93" i="15" s="1"/>
  <c r="J92" i="15"/>
  <c r="J89" i="15" s="1"/>
  <c r="P91" i="15"/>
  <c r="I91" i="15"/>
  <c r="K91" i="15" s="1"/>
  <c r="P90" i="15"/>
  <c r="I90" i="15"/>
  <c r="O90" i="15" s="1"/>
  <c r="M89" i="15"/>
  <c r="L89" i="15"/>
  <c r="P88" i="15"/>
  <c r="I88" i="15"/>
  <c r="K88" i="15" s="1"/>
  <c r="P87" i="15"/>
  <c r="I87" i="15"/>
  <c r="K87" i="15" s="1"/>
  <c r="P86" i="15"/>
  <c r="I86" i="15"/>
  <c r="O86" i="15" s="1"/>
  <c r="P85" i="15"/>
  <c r="I85" i="15"/>
  <c r="K85" i="15" s="1"/>
  <c r="P84" i="15"/>
  <c r="I84" i="15"/>
  <c r="K84" i="15" s="1"/>
  <c r="M83" i="15"/>
  <c r="M80" i="15" s="1"/>
  <c r="L83" i="15"/>
  <c r="L80" i="15" s="1"/>
  <c r="J83" i="15"/>
  <c r="J80" i="15" s="1"/>
  <c r="P82" i="15"/>
  <c r="I82" i="15"/>
  <c r="K82" i="15" s="1"/>
  <c r="P81" i="15"/>
  <c r="I81" i="15"/>
  <c r="K81" i="15" s="1"/>
  <c r="P79" i="15"/>
  <c r="O79" i="15"/>
  <c r="K79" i="15"/>
  <c r="P78" i="15"/>
  <c r="I78" i="15"/>
  <c r="O78" i="15" s="1"/>
  <c r="P77" i="15"/>
  <c r="O77" i="15"/>
  <c r="K77" i="15"/>
  <c r="P76" i="15"/>
  <c r="I76" i="15"/>
  <c r="K76" i="15" s="1"/>
  <c r="P75" i="15"/>
  <c r="I75" i="15"/>
  <c r="O75" i="15" s="1"/>
  <c r="P74" i="15"/>
  <c r="O74" i="15"/>
  <c r="K74" i="15"/>
  <c r="J73" i="15"/>
  <c r="J70" i="15" s="1"/>
  <c r="P72" i="15"/>
  <c r="I72" i="15"/>
  <c r="K72" i="15" s="1"/>
  <c r="P71" i="15"/>
  <c r="I71" i="15"/>
  <c r="O71" i="15" s="1"/>
  <c r="M70" i="15"/>
  <c r="L70" i="15"/>
  <c r="P69" i="15"/>
  <c r="O69" i="15"/>
  <c r="N69" i="15"/>
  <c r="P68" i="15"/>
  <c r="L68" i="15"/>
  <c r="N68" i="15" s="1"/>
  <c r="M67" i="15"/>
  <c r="P67" i="15" s="1"/>
  <c r="P66" i="15"/>
  <c r="O66" i="15"/>
  <c r="N66" i="15"/>
  <c r="M65" i="15"/>
  <c r="P65" i="15" s="1"/>
  <c r="L65" i="15"/>
  <c r="O65" i="15" s="1"/>
  <c r="J64" i="15"/>
  <c r="I64" i="15"/>
  <c r="P63" i="15"/>
  <c r="I63" i="15"/>
  <c r="O63" i="15" s="1"/>
  <c r="P62" i="15"/>
  <c r="O62" i="15"/>
  <c r="K62" i="15"/>
  <c r="P61" i="15"/>
  <c r="I61" i="15"/>
  <c r="K61" i="15" s="1"/>
  <c r="P60" i="15"/>
  <c r="I60" i="15"/>
  <c r="O60" i="15" s="1"/>
  <c r="P59" i="15"/>
  <c r="I59" i="15"/>
  <c r="O59" i="15" s="1"/>
  <c r="P58" i="15"/>
  <c r="I58" i="15"/>
  <c r="O58" i="15" s="1"/>
  <c r="P57" i="15"/>
  <c r="I57" i="15"/>
  <c r="K57" i="15" s="1"/>
  <c r="J56" i="15"/>
  <c r="P56" i="15" s="1"/>
  <c r="P55" i="15"/>
  <c r="O55" i="15"/>
  <c r="K55" i="15"/>
  <c r="P54" i="15"/>
  <c r="I54" i="15"/>
  <c r="O54" i="15" s="1"/>
  <c r="P53" i="15"/>
  <c r="I53" i="15"/>
  <c r="K53" i="15" s="1"/>
  <c r="P52" i="15"/>
  <c r="I52" i="15"/>
  <c r="K52" i="15" s="1"/>
  <c r="P50" i="15"/>
  <c r="L50" i="15"/>
  <c r="O50" i="15" s="1"/>
  <c r="P49" i="15"/>
  <c r="L49" i="15"/>
  <c r="O49" i="15" s="1"/>
  <c r="M48" i="15"/>
  <c r="P48" i="15" s="1"/>
  <c r="J47" i="15"/>
  <c r="I47" i="15"/>
  <c r="P46" i="15"/>
  <c r="O46" i="15"/>
  <c r="K46" i="15"/>
  <c r="P45" i="15"/>
  <c r="I45" i="15"/>
  <c r="O45" i="15" s="1"/>
  <c r="P44" i="15"/>
  <c r="I44" i="15"/>
  <c r="O44" i="15" s="1"/>
  <c r="P43" i="15"/>
  <c r="I43" i="15"/>
  <c r="K43" i="15" s="1"/>
  <c r="M42" i="15"/>
  <c r="L42" i="15"/>
  <c r="J42" i="15"/>
  <c r="J39" i="15" s="1"/>
  <c r="P41" i="15"/>
  <c r="I41" i="15"/>
  <c r="O41" i="15" s="1"/>
  <c r="P40" i="15"/>
  <c r="I40" i="15"/>
  <c r="K40" i="15" s="1"/>
  <c r="P38" i="15"/>
  <c r="I38" i="15"/>
  <c r="K38" i="15" s="1"/>
  <c r="P37" i="15"/>
  <c r="O37" i="15"/>
  <c r="K37" i="15"/>
  <c r="P36" i="15"/>
  <c r="I36" i="15"/>
  <c r="O36" i="15" s="1"/>
  <c r="M35" i="15"/>
  <c r="L35" i="15"/>
  <c r="J35" i="15"/>
  <c r="J34" i="15" s="1"/>
  <c r="P32" i="15"/>
  <c r="O32" i="15"/>
  <c r="N32" i="15"/>
  <c r="M31" i="15"/>
  <c r="P31" i="15" s="1"/>
  <c r="L31" i="15"/>
  <c r="O31" i="15" s="1"/>
  <c r="P30" i="15"/>
  <c r="O30" i="15"/>
  <c r="N30" i="15"/>
  <c r="M29" i="15"/>
  <c r="P29" i="15" s="1"/>
  <c r="L29" i="15"/>
  <c r="O29" i="15" s="1"/>
  <c r="P28" i="15"/>
  <c r="I28" i="15"/>
  <c r="O28" i="15" s="1"/>
  <c r="P27" i="15"/>
  <c r="O27" i="15"/>
  <c r="K27" i="15"/>
  <c r="P26" i="15"/>
  <c r="O26" i="15"/>
  <c r="K26" i="15"/>
  <c r="P25" i="15"/>
  <c r="I25" i="15"/>
  <c r="K25" i="15" s="1"/>
  <c r="P24" i="15"/>
  <c r="I24" i="15"/>
  <c r="O24" i="15" s="1"/>
  <c r="P23" i="15"/>
  <c r="O23" i="15"/>
  <c r="K23" i="15"/>
  <c r="M22" i="15"/>
  <c r="L22" i="15"/>
  <c r="J22" i="15"/>
  <c r="J19" i="15" s="1"/>
  <c r="P21" i="15"/>
  <c r="I21" i="15"/>
  <c r="O21" i="15" s="1"/>
  <c r="P20" i="15"/>
  <c r="I20" i="15"/>
  <c r="O20" i="15" s="1"/>
  <c r="P18" i="15"/>
  <c r="O18" i="15"/>
  <c r="K18" i="15"/>
  <c r="P17" i="15"/>
  <c r="O17" i="15"/>
  <c r="K17" i="15"/>
  <c r="P16" i="15"/>
  <c r="O16" i="15"/>
  <c r="K16" i="15"/>
  <c r="P15" i="15"/>
  <c r="O15" i="15"/>
  <c r="K15" i="15"/>
  <c r="P14" i="15"/>
  <c r="O14" i="15"/>
  <c r="K14" i="15"/>
  <c r="P13" i="15"/>
  <c r="O13" i="15"/>
  <c r="K13" i="15"/>
  <c r="P12" i="15"/>
  <c r="O12" i="15"/>
  <c r="K12" i="15"/>
  <c r="B10" i="15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M116" i="14"/>
  <c r="P116" i="14" s="1"/>
  <c r="M106" i="14"/>
  <c r="P106" i="14" s="1"/>
  <c r="M133" i="14"/>
  <c r="P133" i="14" s="1"/>
  <c r="M104" i="14"/>
  <c r="M130" i="14"/>
  <c r="P130" i="14" s="1"/>
  <c r="M94" i="14"/>
  <c r="P94" i="14" s="1"/>
  <c r="M93" i="14"/>
  <c r="P93" i="14" s="1"/>
  <c r="M88" i="14"/>
  <c r="M113" i="14"/>
  <c r="P113" i="14" s="1"/>
  <c r="M92" i="14"/>
  <c r="P92" i="14" s="1"/>
  <c r="M86" i="14"/>
  <c r="M136" i="14"/>
  <c r="P136" i="14" s="1"/>
  <c r="M125" i="14"/>
  <c r="P125" i="14" s="1"/>
  <c r="M126" i="14"/>
  <c r="P126" i="14" s="1"/>
  <c r="M109" i="14"/>
  <c r="M108" i="14"/>
  <c r="M52" i="14"/>
  <c r="M51" i="14" s="1"/>
  <c r="P51" i="14" s="1"/>
  <c r="P148" i="14"/>
  <c r="L148" i="14"/>
  <c r="L147" i="14" s="1"/>
  <c r="J146" i="14"/>
  <c r="I146" i="14"/>
  <c r="P145" i="14"/>
  <c r="O145" i="14"/>
  <c r="N145" i="14"/>
  <c r="P144" i="14"/>
  <c r="O144" i="14"/>
  <c r="N144" i="14"/>
  <c r="P143" i="14"/>
  <c r="O143" i="14"/>
  <c r="N143" i="14"/>
  <c r="P142" i="14"/>
  <c r="O142" i="14"/>
  <c r="N142" i="14"/>
  <c r="P141" i="14"/>
  <c r="O141" i="14"/>
  <c r="N141" i="14"/>
  <c r="P140" i="14"/>
  <c r="L140" i="14"/>
  <c r="P139" i="14"/>
  <c r="O139" i="14"/>
  <c r="N139" i="14"/>
  <c r="P138" i="14"/>
  <c r="L138" i="14"/>
  <c r="O138" i="14" s="1"/>
  <c r="P137" i="14"/>
  <c r="L137" i="14"/>
  <c r="O137" i="14" s="1"/>
  <c r="L136" i="14"/>
  <c r="P135" i="14"/>
  <c r="L135" i="14"/>
  <c r="O135" i="14" s="1"/>
  <c r="P134" i="14"/>
  <c r="L134" i="14"/>
  <c r="O134" i="14" s="1"/>
  <c r="L133" i="14"/>
  <c r="O133" i="14" s="1"/>
  <c r="P132" i="14"/>
  <c r="L132" i="14"/>
  <c r="N132" i="14" s="1"/>
  <c r="P131" i="14"/>
  <c r="O131" i="14"/>
  <c r="N131" i="14"/>
  <c r="L130" i="14"/>
  <c r="P129" i="14"/>
  <c r="O129" i="14"/>
  <c r="N129" i="14"/>
  <c r="P128" i="14"/>
  <c r="L128" i="14"/>
  <c r="O128" i="14" s="1"/>
  <c r="P127" i="14"/>
  <c r="O127" i="14"/>
  <c r="N127" i="14"/>
  <c r="L126" i="14"/>
  <c r="N126" i="14" s="1"/>
  <c r="L125" i="14"/>
  <c r="P124" i="14"/>
  <c r="O124" i="14"/>
  <c r="N124" i="14"/>
  <c r="P123" i="14"/>
  <c r="O123" i="14"/>
  <c r="N123" i="14"/>
  <c r="P122" i="14"/>
  <c r="O122" i="14"/>
  <c r="N122" i="14"/>
  <c r="P121" i="14"/>
  <c r="L121" i="14"/>
  <c r="O121" i="14" s="1"/>
  <c r="P120" i="14"/>
  <c r="O120" i="14"/>
  <c r="N120" i="14"/>
  <c r="P119" i="14"/>
  <c r="O119" i="14"/>
  <c r="N119" i="14"/>
  <c r="P118" i="14"/>
  <c r="O118" i="14"/>
  <c r="N118" i="14"/>
  <c r="P117" i="14"/>
  <c r="O117" i="14"/>
  <c r="N117" i="14"/>
  <c r="L116" i="14"/>
  <c r="O116" i="14" s="1"/>
  <c r="P115" i="14"/>
  <c r="L115" i="14"/>
  <c r="O115" i="14" s="1"/>
  <c r="P114" i="14"/>
  <c r="O114" i="14"/>
  <c r="N114" i="14"/>
  <c r="L113" i="14"/>
  <c r="P112" i="14"/>
  <c r="L112" i="14"/>
  <c r="P111" i="14"/>
  <c r="O111" i="14"/>
  <c r="N111" i="14"/>
  <c r="P110" i="14"/>
  <c r="O110" i="14"/>
  <c r="N110" i="14"/>
  <c r="P109" i="14"/>
  <c r="O109" i="14"/>
  <c r="N109" i="14"/>
  <c r="P108" i="14"/>
  <c r="O108" i="14"/>
  <c r="N108" i="14"/>
  <c r="P107" i="14"/>
  <c r="L107" i="14"/>
  <c r="N107" i="14" s="1"/>
  <c r="L106" i="14"/>
  <c r="P105" i="14"/>
  <c r="L105" i="14"/>
  <c r="O105" i="14" s="1"/>
  <c r="P104" i="14"/>
  <c r="O104" i="14"/>
  <c r="N104" i="14"/>
  <c r="P103" i="14"/>
  <c r="O103" i="14"/>
  <c r="N103" i="14"/>
  <c r="P102" i="14"/>
  <c r="L102" i="14"/>
  <c r="P101" i="14"/>
  <c r="L101" i="14"/>
  <c r="N101" i="14" s="1"/>
  <c r="P100" i="14"/>
  <c r="O100" i="14"/>
  <c r="N100" i="14"/>
  <c r="P99" i="14"/>
  <c r="O99" i="14"/>
  <c r="N99" i="14"/>
  <c r="P98" i="14"/>
  <c r="L98" i="14"/>
  <c r="O98" i="14" s="1"/>
  <c r="P97" i="14"/>
  <c r="L97" i="14"/>
  <c r="P96" i="14"/>
  <c r="L96" i="14"/>
  <c r="O96" i="14" s="1"/>
  <c r="P95" i="14"/>
  <c r="L95" i="14"/>
  <c r="L94" i="14"/>
  <c r="L93" i="14"/>
  <c r="L92" i="14"/>
  <c r="O92" i="14" s="1"/>
  <c r="P91" i="14"/>
  <c r="L91" i="14"/>
  <c r="P90" i="14"/>
  <c r="L90" i="14"/>
  <c r="O90" i="14" s="1"/>
  <c r="P89" i="14"/>
  <c r="L89" i="14"/>
  <c r="O89" i="14" s="1"/>
  <c r="P88" i="14"/>
  <c r="L88" i="14"/>
  <c r="P87" i="14"/>
  <c r="L87" i="14"/>
  <c r="N87" i="14" s="1"/>
  <c r="L86" i="14"/>
  <c r="P84" i="14"/>
  <c r="O84" i="14"/>
  <c r="N84" i="14"/>
  <c r="P83" i="14"/>
  <c r="Q83" i="14" s="1"/>
  <c r="O83" i="14"/>
  <c r="N83" i="14"/>
  <c r="P82" i="14"/>
  <c r="O82" i="14"/>
  <c r="N82" i="14"/>
  <c r="P81" i="14"/>
  <c r="O81" i="14"/>
  <c r="N81" i="14"/>
  <c r="P80" i="14"/>
  <c r="O80" i="14"/>
  <c r="N80" i="14"/>
  <c r="P79" i="14"/>
  <c r="O79" i="14"/>
  <c r="N79" i="14"/>
  <c r="P78" i="14"/>
  <c r="O78" i="14"/>
  <c r="N78" i="14"/>
  <c r="P77" i="14"/>
  <c r="O77" i="14"/>
  <c r="N77" i="14"/>
  <c r="P76" i="14"/>
  <c r="O76" i="14"/>
  <c r="N76" i="14"/>
  <c r="P75" i="14"/>
  <c r="Q75" i="14" s="1"/>
  <c r="O75" i="14"/>
  <c r="N75" i="14"/>
  <c r="P74" i="14"/>
  <c r="O74" i="14"/>
  <c r="N74" i="14"/>
  <c r="P73" i="14"/>
  <c r="L73" i="14"/>
  <c r="N73" i="14" s="1"/>
  <c r="P72" i="14"/>
  <c r="Q72" i="14" s="1"/>
  <c r="O72" i="14"/>
  <c r="N72" i="14"/>
  <c r="P71" i="14"/>
  <c r="O71" i="14"/>
  <c r="N71" i="14"/>
  <c r="P70" i="14"/>
  <c r="O70" i="14"/>
  <c r="N70" i="14"/>
  <c r="P69" i="14"/>
  <c r="L69" i="14"/>
  <c r="O69" i="14" s="1"/>
  <c r="P68" i="14"/>
  <c r="O68" i="14"/>
  <c r="N68" i="14"/>
  <c r="P67" i="14"/>
  <c r="O67" i="14"/>
  <c r="N67" i="14"/>
  <c r="P66" i="14"/>
  <c r="O66" i="14"/>
  <c r="N66" i="14"/>
  <c r="Q65" i="14"/>
  <c r="P65" i="14"/>
  <c r="O65" i="14"/>
  <c r="N65" i="14"/>
  <c r="P64" i="14"/>
  <c r="L64" i="14"/>
  <c r="O64" i="14" s="1"/>
  <c r="P63" i="14"/>
  <c r="O63" i="14"/>
  <c r="N63" i="14"/>
  <c r="P62" i="14"/>
  <c r="L62" i="14"/>
  <c r="P61" i="14"/>
  <c r="O61" i="14"/>
  <c r="N61" i="14"/>
  <c r="P60" i="14"/>
  <c r="O60" i="14"/>
  <c r="N60" i="14"/>
  <c r="P59" i="14"/>
  <c r="O59" i="14"/>
  <c r="N59" i="14"/>
  <c r="P58" i="14"/>
  <c r="O58" i="14"/>
  <c r="N58" i="14"/>
  <c r="P57" i="14"/>
  <c r="O57" i="14"/>
  <c r="N57" i="14"/>
  <c r="P56" i="14"/>
  <c r="O56" i="14"/>
  <c r="N56" i="14"/>
  <c r="P55" i="14"/>
  <c r="O55" i="14"/>
  <c r="N55" i="14"/>
  <c r="P54" i="14"/>
  <c r="O54" i="14"/>
  <c r="N54" i="14"/>
  <c r="P53" i="14"/>
  <c r="L53" i="14"/>
  <c r="N53" i="14" s="1"/>
  <c r="O52" i="14"/>
  <c r="P50" i="14"/>
  <c r="P49" i="14" s="1"/>
  <c r="O50" i="14"/>
  <c r="O49" i="14" s="1"/>
  <c r="N50" i="14"/>
  <c r="M49" i="14"/>
  <c r="L49" i="14"/>
  <c r="J48" i="14"/>
  <c r="J47" i="14" s="1"/>
  <c r="I48" i="14"/>
  <c r="I47" i="14" s="1"/>
  <c r="P46" i="14"/>
  <c r="O46" i="14"/>
  <c r="N46" i="14"/>
  <c r="M45" i="14"/>
  <c r="P45" i="14" s="1"/>
  <c r="L45" i="14"/>
  <c r="J44" i="14"/>
  <c r="I44" i="14"/>
  <c r="P43" i="14"/>
  <c r="O43" i="14"/>
  <c r="K43" i="14"/>
  <c r="P42" i="14"/>
  <c r="I42" i="14"/>
  <c r="P41" i="14"/>
  <c r="O41" i="14"/>
  <c r="K41" i="14"/>
  <c r="P40" i="14"/>
  <c r="O40" i="14"/>
  <c r="K40" i="14"/>
  <c r="P39" i="14"/>
  <c r="I39" i="14"/>
  <c r="M38" i="14"/>
  <c r="L38" i="14"/>
  <c r="J38" i="14"/>
  <c r="P37" i="14"/>
  <c r="I37" i="14"/>
  <c r="O37" i="14" s="1"/>
  <c r="P36" i="14"/>
  <c r="I36" i="14"/>
  <c r="K36" i="14" s="1"/>
  <c r="P34" i="14"/>
  <c r="O34" i="14"/>
  <c r="N34" i="14"/>
  <c r="M33" i="14"/>
  <c r="P33" i="14" s="1"/>
  <c r="L33" i="14"/>
  <c r="O33" i="14" s="1"/>
  <c r="M32" i="14"/>
  <c r="J32" i="14"/>
  <c r="P32" i="14" s="1"/>
  <c r="I32" i="14"/>
  <c r="P31" i="14"/>
  <c r="O31" i="14"/>
  <c r="K31" i="14"/>
  <c r="P30" i="14"/>
  <c r="O30" i="14"/>
  <c r="K30" i="14"/>
  <c r="P29" i="14"/>
  <c r="O29" i="14"/>
  <c r="K29" i="14"/>
  <c r="P28" i="14"/>
  <c r="O28" i="14"/>
  <c r="K28" i="14"/>
  <c r="P27" i="14"/>
  <c r="Q27" i="14" s="1"/>
  <c r="O27" i="14"/>
  <c r="K27" i="14"/>
  <c r="P26" i="14"/>
  <c r="O26" i="14"/>
  <c r="K26" i="14"/>
  <c r="P25" i="14"/>
  <c r="I25" i="14"/>
  <c r="K25" i="14" s="1"/>
  <c r="P24" i="14"/>
  <c r="Q24" i="14" s="1"/>
  <c r="O24" i="14"/>
  <c r="K24" i="14"/>
  <c r="P23" i="14"/>
  <c r="O23" i="14"/>
  <c r="I23" i="14"/>
  <c r="K23" i="14" s="1"/>
  <c r="P22" i="14"/>
  <c r="I22" i="14"/>
  <c r="O22" i="14" s="1"/>
  <c r="P21" i="14"/>
  <c r="I21" i="14"/>
  <c r="K21" i="14" s="1"/>
  <c r="P20" i="14"/>
  <c r="I20" i="14"/>
  <c r="O20" i="14" s="1"/>
  <c r="P19" i="14"/>
  <c r="I19" i="14"/>
  <c r="J18" i="14"/>
  <c r="P18" i="14" s="1"/>
  <c r="P17" i="14"/>
  <c r="O17" i="14"/>
  <c r="K17" i="14"/>
  <c r="P16" i="14"/>
  <c r="O16" i="14"/>
  <c r="K16" i="14"/>
  <c r="M15" i="14"/>
  <c r="L15" i="14"/>
  <c r="P13" i="14"/>
  <c r="O13" i="14"/>
  <c r="K13" i="14"/>
  <c r="P12" i="14"/>
  <c r="I12" i="14"/>
  <c r="O12" i="14" s="1"/>
  <c r="M11" i="14"/>
  <c r="M10" i="14" s="1"/>
  <c r="L11" i="14"/>
  <c r="L10" i="14" s="1"/>
  <c r="J11" i="14"/>
  <c r="J10" i="14" s="1"/>
  <c r="I11" i="14"/>
  <c r="I10" i="14" s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J69" i="9"/>
  <c r="J38" i="9"/>
  <c r="Q86" i="18" l="1"/>
  <c r="P57" i="18"/>
  <c r="N57" i="18"/>
  <c r="I42" i="17"/>
  <c r="O51" i="17"/>
  <c r="P52" i="16"/>
  <c r="B71" i="16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Q109" i="16"/>
  <c r="Q106" i="16"/>
  <c r="N77" i="16"/>
  <c r="Q11" i="16"/>
  <c r="N109" i="16"/>
  <c r="N81" i="16"/>
  <c r="P239" i="15"/>
  <c r="N239" i="15"/>
  <c r="P372" i="15"/>
  <c r="N372" i="15"/>
  <c r="O380" i="15"/>
  <c r="N380" i="15"/>
  <c r="O776" i="15"/>
  <c r="N776" i="15"/>
  <c r="O802" i="15"/>
  <c r="N802" i="15"/>
  <c r="P134" i="15"/>
  <c r="N134" i="15"/>
  <c r="I181" i="15"/>
  <c r="P237" i="15"/>
  <c r="N237" i="15"/>
  <c r="M286" i="15"/>
  <c r="N286" i="15" s="1"/>
  <c r="N287" i="15"/>
  <c r="P342" i="15"/>
  <c r="N377" i="15"/>
  <c r="N567" i="15"/>
  <c r="N446" i="15"/>
  <c r="P149" i="15"/>
  <c r="N149" i="15"/>
  <c r="P164" i="15"/>
  <c r="N164" i="15"/>
  <c r="M289" i="15"/>
  <c r="N290" i="15"/>
  <c r="P374" i="15"/>
  <c r="N374" i="15"/>
  <c r="P445" i="15"/>
  <c r="P240" i="15"/>
  <c r="N240" i="15"/>
  <c r="P409" i="15"/>
  <c r="N409" i="15"/>
  <c r="P34" i="15"/>
  <c r="P176" i="15"/>
  <c r="N176" i="15"/>
  <c r="O343" i="15"/>
  <c r="N343" i="15"/>
  <c r="P460" i="15"/>
  <c r="N460" i="15"/>
  <c r="P684" i="15"/>
  <c r="N684" i="15"/>
  <c r="P218" i="15"/>
  <c r="N218" i="15"/>
  <c r="P405" i="15"/>
  <c r="N405" i="15"/>
  <c r="P463" i="15"/>
  <c r="N463" i="15"/>
  <c r="P801" i="15"/>
  <c r="M136" i="15"/>
  <c r="N137" i="15"/>
  <c r="P345" i="15"/>
  <c r="N345" i="15"/>
  <c r="N94" i="14"/>
  <c r="Q103" i="14"/>
  <c r="M407" i="15"/>
  <c r="I304" i="15"/>
  <c r="K300" i="15"/>
  <c r="I296" i="15"/>
  <c r="J686" i="15"/>
  <c r="P702" i="15"/>
  <c r="M686" i="15"/>
  <c r="N686" i="15" s="1"/>
  <c r="O258" i="15"/>
  <c r="Q258" i="15" s="1"/>
  <c r="I253" i="15"/>
  <c r="O249" i="15"/>
  <c r="I244" i="15"/>
  <c r="O244" i="15" s="1"/>
  <c r="Q244" i="15" s="1"/>
  <c r="K774" i="15"/>
  <c r="I770" i="15"/>
  <c r="O770" i="15" s="1"/>
  <c r="I762" i="15"/>
  <c r="O389" i="15"/>
  <c r="Q389" i="15" s="1"/>
  <c r="I384" i="15"/>
  <c r="O384" i="15" s="1"/>
  <c r="Q384" i="15" s="1"/>
  <c r="I393" i="15"/>
  <c r="O393" i="15" s="1"/>
  <c r="J780" i="15"/>
  <c r="O804" i="15"/>
  <c r="Q804" i="15" s="1"/>
  <c r="I813" i="15"/>
  <c r="K813" i="15" s="1"/>
  <c r="I792" i="15"/>
  <c r="K454" i="15"/>
  <c r="I449" i="15"/>
  <c r="K449" i="15" s="1"/>
  <c r="I439" i="15"/>
  <c r="O439" i="15" s="1"/>
  <c r="O442" i="15"/>
  <c r="Q442" i="15" s="1"/>
  <c r="Q79" i="15"/>
  <c r="P317" i="15"/>
  <c r="J314" i="15"/>
  <c r="K744" i="15"/>
  <c r="J743" i="15"/>
  <c r="P743" i="15" s="1"/>
  <c r="J347" i="15"/>
  <c r="K527" i="15"/>
  <c r="O609" i="15"/>
  <c r="Q609" i="15" s="1"/>
  <c r="Q143" i="15"/>
  <c r="Q619" i="15"/>
  <c r="P113" i="15"/>
  <c r="Q450" i="15"/>
  <c r="K430" i="15"/>
  <c r="I424" i="15"/>
  <c r="Q224" i="15"/>
  <c r="Q411" i="15"/>
  <c r="P413" i="15"/>
  <c r="J410" i="15"/>
  <c r="Q150" i="15"/>
  <c r="K190" i="15"/>
  <c r="Q202" i="15"/>
  <c r="Q206" i="15"/>
  <c r="O322" i="15"/>
  <c r="Q322" i="15" s="1"/>
  <c r="O355" i="15"/>
  <c r="Q355" i="15" s="1"/>
  <c r="L342" i="15"/>
  <c r="O342" i="15" s="1"/>
  <c r="Q342" i="15" s="1"/>
  <c r="M344" i="15"/>
  <c r="Q846" i="15"/>
  <c r="Q77" i="15"/>
  <c r="O95" i="15"/>
  <c r="Q95" i="15" s="1"/>
  <c r="P137" i="15"/>
  <c r="J263" i="15"/>
  <c r="Q480" i="15"/>
  <c r="K486" i="15"/>
  <c r="Q491" i="15"/>
  <c r="Q41" i="15"/>
  <c r="P831" i="15"/>
  <c r="Q58" i="15"/>
  <c r="Q75" i="15"/>
  <c r="J475" i="15"/>
  <c r="Q711" i="15"/>
  <c r="Q51" i="17"/>
  <c r="Q51" i="19"/>
  <c r="P10" i="19"/>
  <c r="Q10" i="19" s="1"/>
  <c r="M9" i="19"/>
  <c r="O146" i="19"/>
  <c r="Q146" i="19" s="1"/>
  <c r="I9" i="19"/>
  <c r="K146" i="19"/>
  <c r="O11" i="19"/>
  <c r="Q11" i="19" s="1"/>
  <c r="K11" i="19"/>
  <c r="Q57" i="18"/>
  <c r="L10" i="18"/>
  <c r="O96" i="18"/>
  <c r="Q96" i="18" s="1"/>
  <c r="I10" i="18"/>
  <c r="K96" i="18"/>
  <c r="M10" i="18"/>
  <c r="P85" i="18"/>
  <c r="Q85" i="18" s="1"/>
  <c r="K57" i="18"/>
  <c r="K10" i="17"/>
  <c r="Q10" i="17"/>
  <c r="K23" i="17"/>
  <c r="O23" i="17"/>
  <c r="Q23" i="17" s="1"/>
  <c r="L42" i="17"/>
  <c r="L9" i="17" s="1"/>
  <c r="Q22" i="17"/>
  <c r="P48" i="17"/>
  <c r="Q48" i="17" s="1"/>
  <c r="M42" i="17"/>
  <c r="K22" i="17"/>
  <c r="I9" i="17"/>
  <c r="K42" i="17"/>
  <c r="L77" i="16"/>
  <c r="O77" i="16" s="1"/>
  <c r="Q60" i="16"/>
  <c r="Q117" i="16"/>
  <c r="Q50" i="16"/>
  <c r="I49" i="16"/>
  <c r="K49" i="16" s="1"/>
  <c r="P114" i="16"/>
  <c r="J102" i="16"/>
  <c r="K114" i="16"/>
  <c r="O72" i="16"/>
  <c r="Q72" i="16" s="1"/>
  <c r="K72" i="16"/>
  <c r="L130" i="16"/>
  <c r="O131" i="16"/>
  <c r="Q131" i="16" s="1"/>
  <c r="O37" i="16"/>
  <c r="I36" i="16"/>
  <c r="O36" i="16" s="1"/>
  <c r="O15" i="16"/>
  <c r="Q15" i="16" s="1"/>
  <c r="K15" i="16"/>
  <c r="I14" i="16"/>
  <c r="M49" i="16"/>
  <c r="I102" i="16"/>
  <c r="O86" i="16"/>
  <c r="Q86" i="16" s="1"/>
  <c r="K86" i="16"/>
  <c r="I83" i="16"/>
  <c r="I71" i="16" s="1"/>
  <c r="O44" i="16"/>
  <c r="O57" i="16"/>
  <c r="Q57" i="16" s="1"/>
  <c r="L52" i="16"/>
  <c r="N52" i="16" s="1"/>
  <c r="P32" i="16"/>
  <c r="Q32" i="16" s="1"/>
  <c r="K32" i="16"/>
  <c r="P77" i="16"/>
  <c r="Q77" i="16" s="1"/>
  <c r="M71" i="16"/>
  <c r="P44" i="16"/>
  <c r="M36" i="16"/>
  <c r="N36" i="16" s="1"/>
  <c r="J36" i="16"/>
  <c r="J31" i="16" s="1"/>
  <c r="P37" i="16"/>
  <c r="K37" i="16"/>
  <c r="K60" i="16"/>
  <c r="O96" i="16"/>
  <c r="Q96" i="16" s="1"/>
  <c r="K96" i="16"/>
  <c r="M102" i="16"/>
  <c r="P103" i="16"/>
  <c r="I93" i="16"/>
  <c r="L103" i="16"/>
  <c r="N103" i="16" s="1"/>
  <c r="Q45" i="16"/>
  <c r="P92" i="16"/>
  <c r="Q825" i="15"/>
  <c r="M133" i="15"/>
  <c r="Q238" i="15"/>
  <c r="Q240" i="15"/>
  <c r="Q262" i="15"/>
  <c r="Q267" i="15"/>
  <c r="O310" i="15"/>
  <c r="Q310" i="15" s="1"/>
  <c r="Q315" i="15"/>
  <c r="Q320" i="15"/>
  <c r="Q321" i="15"/>
  <c r="Q568" i="15"/>
  <c r="Q576" i="15"/>
  <c r="O712" i="15"/>
  <c r="Q712" i="15" s="1"/>
  <c r="K54" i="15"/>
  <c r="Q55" i="15"/>
  <c r="P70" i="15"/>
  <c r="Q94" i="15"/>
  <c r="Q221" i="15"/>
  <c r="K228" i="15"/>
  <c r="O395" i="15"/>
  <c r="Q395" i="15" s="1"/>
  <c r="O561" i="15"/>
  <c r="Q561" i="15" s="1"/>
  <c r="I588" i="15"/>
  <c r="K588" i="15" s="1"/>
  <c r="K624" i="15"/>
  <c r="I663" i="15"/>
  <c r="K663" i="15" s="1"/>
  <c r="L704" i="15"/>
  <c r="O744" i="15"/>
  <c r="Q744" i="15" s="1"/>
  <c r="P792" i="15"/>
  <c r="J194" i="15"/>
  <c r="Q710" i="15"/>
  <c r="K159" i="15"/>
  <c r="Q160" i="15"/>
  <c r="Q168" i="15"/>
  <c r="K358" i="15"/>
  <c r="P359" i="15"/>
  <c r="Q435" i="15"/>
  <c r="Q469" i="15"/>
  <c r="O479" i="15"/>
  <c r="Q479" i="15" s="1"/>
  <c r="K544" i="15"/>
  <c r="J759" i="15"/>
  <c r="Q790" i="15"/>
  <c r="J51" i="15"/>
  <c r="J33" i="15" s="1"/>
  <c r="K215" i="15"/>
  <c r="K230" i="15"/>
  <c r="P449" i="15"/>
  <c r="P559" i="15"/>
  <c r="P626" i="15"/>
  <c r="O722" i="15"/>
  <c r="Q824" i="15"/>
  <c r="Q24" i="15"/>
  <c r="O129" i="15"/>
  <c r="Q129" i="15" s="1"/>
  <c r="K171" i="15"/>
  <c r="Q200" i="15"/>
  <c r="K326" i="15"/>
  <c r="O365" i="15"/>
  <c r="Q365" i="15" s="1"/>
  <c r="Q369" i="15"/>
  <c r="K422" i="15"/>
  <c r="Q487" i="15"/>
  <c r="Q492" i="15"/>
  <c r="P549" i="15"/>
  <c r="O555" i="15"/>
  <c r="Q555" i="15" s="1"/>
  <c r="O563" i="15"/>
  <c r="Q563" i="15" s="1"/>
  <c r="Q583" i="15"/>
  <c r="K594" i="15"/>
  <c r="O614" i="15"/>
  <c r="Q614" i="15" s="1"/>
  <c r="O620" i="15"/>
  <c r="Q620" i="15" s="1"/>
  <c r="O640" i="15"/>
  <c r="Q640" i="15" s="1"/>
  <c r="K643" i="15"/>
  <c r="K697" i="15"/>
  <c r="L721" i="15"/>
  <c r="Q771" i="15"/>
  <c r="O810" i="15"/>
  <c r="Q810" i="15" s="1"/>
  <c r="Q836" i="15"/>
  <c r="K24" i="15"/>
  <c r="O100" i="15"/>
  <c r="Q100" i="15" s="1"/>
  <c r="K124" i="15"/>
  <c r="O179" i="15"/>
  <c r="Q179" i="15" s="1"/>
  <c r="P181" i="15"/>
  <c r="Q208" i="15"/>
  <c r="O273" i="15"/>
  <c r="Q273" i="15" s="1"/>
  <c r="O282" i="15"/>
  <c r="Q282" i="15" s="1"/>
  <c r="Q284" i="15"/>
  <c r="K420" i="15"/>
  <c r="K426" i="15"/>
  <c r="K456" i="15"/>
  <c r="K507" i="15"/>
  <c r="Q547" i="15"/>
  <c r="O669" i="15"/>
  <c r="Q669" i="15" s="1"/>
  <c r="P696" i="15"/>
  <c r="O772" i="15"/>
  <c r="Q772" i="15" s="1"/>
  <c r="Q781" i="15"/>
  <c r="Q785" i="15"/>
  <c r="O822" i="15"/>
  <c r="O830" i="15"/>
  <c r="Q830" i="15" s="1"/>
  <c r="O122" i="15"/>
  <c r="Q122" i="15" s="1"/>
  <c r="K208" i="15"/>
  <c r="K211" i="15"/>
  <c r="J226" i="15"/>
  <c r="J225" i="15" s="1"/>
  <c r="O251" i="15"/>
  <c r="Q251" i="15" s="1"/>
  <c r="K268" i="15"/>
  <c r="O299" i="15"/>
  <c r="Q299" i="15" s="1"/>
  <c r="Q422" i="15"/>
  <c r="O517" i="15"/>
  <c r="Q517" i="15" s="1"/>
  <c r="O666" i="15"/>
  <c r="Q666" i="15" s="1"/>
  <c r="P762" i="15"/>
  <c r="O769" i="15"/>
  <c r="Q769" i="15" s="1"/>
  <c r="Q821" i="15"/>
  <c r="Q152" i="15"/>
  <c r="K356" i="15"/>
  <c r="K383" i="15"/>
  <c r="O390" i="15"/>
  <c r="Q390" i="15" s="1"/>
  <c r="Q418" i="15"/>
  <c r="Q543" i="15"/>
  <c r="I831" i="15"/>
  <c r="O831" i="15" s="1"/>
  <c r="B47" i="15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B111" i="15" s="1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B128" i="15" s="1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Q13" i="15"/>
  <c r="Q31" i="15"/>
  <c r="Q44" i="15"/>
  <c r="N49" i="15"/>
  <c r="Q60" i="15"/>
  <c r="Q69" i="15"/>
  <c r="Q71" i="15"/>
  <c r="O82" i="15"/>
  <c r="Q82" i="15" s="1"/>
  <c r="O87" i="15"/>
  <c r="Q87" i="15" s="1"/>
  <c r="O93" i="15"/>
  <c r="Q93" i="15" s="1"/>
  <c r="Q112" i="15"/>
  <c r="O115" i="15"/>
  <c r="Q115" i="15" s="1"/>
  <c r="O137" i="15"/>
  <c r="Q146" i="15"/>
  <c r="Q174" i="15"/>
  <c r="Q222" i="15"/>
  <c r="K242" i="15"/>
  <c r="K254" i="15"/>
  <c r="K274" i="15"/>
  <c r="Q292" i="15"/>
  <c r="P293" i="15"/>
  <c r="K306" i="15"/>
  <c r="K320" i="15"/>
  <c r="Q346" i="15"/>
  <c r="O362" i="15"/>
  <c r="Q362" i="15" s="1"/>
  <c r="O388" i="15"/>
  <c r="Q388" i="15" s="1"/>
  <c r="K397" i="15"/>
  <c r="K417" i="15"/>
  <c r="K427" i="15"/>
  <c r="K431" i="15"/>
  <c r="Q432" i="15"/>
  <c r="Q471" i="15"/>
  <c r="K485" i="15"/>
  <c r="O496" i="15"/>
  <c r="Q503" i="15"/>
  <c r="O528" i="15"/>
  <c r="Q528" i="15" s="1"/>
  <c r="O535" i="15"/>
  <c r="Q535" i="15" s="1"/>
  <c r="K538" i="15"/>
  <c r="K543" i="15"/>
  <c r="O580" i="15"/>
  <c r="Q580" i="15" s="1"/>
  <c r="P588" i="15"/>
  <c r="K603" i="15"/>
  <c r="Q613" i="15"/>
  <c r="K619" i="15"/>
  <c r="K622" i="15"/>
  <c r="K627" i="15"/>
  <c r="Q643" i="15"/>
  <c r="K645" i="15"/>
  <c r="P649" i="15"/>
  <c r="K655" i="15"/>
  <c r="Q684" i="15"/>
  <c r="Q725" i="15"/>
  <c r="P746" i="15"/>
  <c r="P754" i="15"/>
  <c r="O848" i="15"/>
  <c r="Q848" i="15" s="1"/>
  <c r="K334" i="15"/>
  <c r="Q383" i="15"/>
  <c r="Q414" i="15"/>
  <c r="Q470" i="15"/>
  <c r="K484" i="15"/>
  <c r="K505" i="15"/>
  <c r="O522" i="15"/>
  <c r="Q522" i="15" s="1"/>
  <c r="K531" i="15"/>
  <c r="K540" i="15"/>
  <c r="K598" i="15"/>
  <c r="Q622" i="15"/>
  <c r="O661" i="15"/>
  <c r="Q661" i="15" s="1"/>
  <c r="Q665" i="15"/>
  <c r="Q697" i="15"/>
  <c r="J704" i="15"/>
  <c r="M704" i="15"/>
  <c r="K717" i="15"/>
  <c r="Q789" i="15"/>
  <c r="K822" i="15"/>
  <c r="O823" i="15"/>
  <c r="Q823" i="15" s="1"/>
  <c r="K835" i="15"/>
  <c r="P42" i="15"/>
  <c r="L48" i="15"/>
  <c r="L47" i="15" s="1"/>
  <c r="O47" i="15" s="1"/>
  <c r="J98" i="15"/>
  <c r="M123" i="15"/>
  <c r="Q125" i="15"/>
  <c r="I210" i="15"/>
  <c r="O210" i="15" s="1"/>
  <c r="P253" i="15"/>
  <c r="J11" i="15"/>
  <c r="P11" i="15" s="1"/>
  <c r="Q15" i="15"/>
  <c r="Q20" i="15"/>
  <c r="P22" i="15"/>
  <c r="O52" i="15"/>
  <c r="Q52" i="15" s="1"/>
  <c r="O97" i="15"/>
  <c r="Q97" i="15" s="1"/>
  <c r="O106" i="15"/>
  <c r="Q106" i="15" s="1"/>
  <c r="M107" i="15"/>
  <c r="P107" i="15" s="1"/>
  <c r="K125" i="15"/>
  <c r="O157" i="15"/>
  <c r="Q157" i="15" s="1"/>
  <c r="Q172" i="15"/>
  <c r="Q176" i="15"/>
  <c r="Q182" i="15"/>
  <c r="Q189" i="15"/>
  <c r="K246" i="15"/>
  <c r="O265" i="15"/>
  <c r="Q265" i="15" s="1"/>
  <c r="K270" i="15"/>
  <c r="Q272" i="15"/>
  <c r="P287" i="15"/>
  <c r="Q287" i="15" s="1"/>
  <c r="O301" i="15"/>
  <c r="Q301" i="15" s="1"/>
  <c r="Q373" i="15"/>
  <c r="Q419" i="15"/>
  <c r="L675" i="15"/>
  <c r="Q683" i="15"/>
  <c r="K688" i="15"/>
  <c r="L726" i="15"/>
  <c r="Q90" i="15"/>
  <c r="O483" i="15"/>
  <c r="Q483" i="15" s="1"/>
  <c r="K483" i="15"/>
  <c r="Q16" i="15"/>
  <c r="Q17" i="15"/>
  <c r="K20" i="15"/>
  <c r="Q26" i="15"/>
  <c r="Q27" i="15"/>
  <c r="O38" i="15"/>
  <c r="Q38" i="15" s="1"/>
  <c r="Q46" i="15"/>
  <c r="K58" i="15"/>
  <c r="K60" i="15"/>
  <c r="Q63" i="15"/>
  <c r="K90" i="15"/>
  <c r="Q127" i="15"/>
  <c r="K143" i="15"/>
  <c r="K147" i="15"/>
  <c r="K154" i="15"/>
  <c r="K162" i="15"/>
  <c r="K186" i="15"/>
  <c r="O198" i="15"/>
  <c r="Q198" i="15" s="1"/>
  <c r="K221" i="15"/>
  <c r="K234" i="15"/>
  <c r="Q235" i="15"/>
  <c r="Q237" i="15"/>
  <c r="Q246" i="15"/>
  <c r="K249" i="15"/>
  <c r="K250" i="15"/>
  <c r="K258" i="15"/>
  <c r="Q268" i="15"/>
  <c r="O269" i="15"/>
  <c r="Q269" i="15" s="1"/>
  <c r="K272" i="15"/>
  <c r="P275" i="15"/>
  <c r="K278" i="15"/>
  <c r="Q291" i="15"/>
  <c r="K294" i="15"/>
  <c r="O297" i="15"/>
  <c r="Q297" i="15" s="1"/>
  <c r="O303" i="15"/>
  <c r="Q303" i="15" s="1"/>
  <c r="Q306" i="15"/>
  <c r="K308" i="15"/>
  <c r="K316" i="15"/>
  <c r="Q325" i="15"/>
  <c r="Q351" i="15"/>
  <c r="O353" i="15"/>
  <c r="Q353" i="15" s="1"/>
  <c r="K357" i="15"/>
  <c r="O357" i="15"/>
  <c r="Q357" i="15" s="1"/>
  <c r="L377" i="15"/>
  <c r="O377" i="15" s="1"/>
  <c r="O378" i="15"/>
  <c r="Q397" i="15"/>
  <c r="O464" i="15"/>
  <c r="Q464" i="15" s="1"/>
  <c r="L463" i="15"/>
  <c r="O463" i="15" s="1"/>
  <c r="Q463" i="15" s="1"/>
  <c r="M501" i="15"/>
  <c r="P501" i="15" s="1"/>
  <c r="P504" i="15"/>
  <c r="O532" i="15"/>
  <c r="Q532" i="15" s="1"/>
  <c r="I529" i="15"/>
  <c r="I526" i="15" s="1"/>
  <c r="K532" i="15"/>
  <c r="K565" i="15"/>
  <c r="O565" i="15"/>
  <c r="Q565" i="15" s="1"/>
  <c r="P611" i="15"/>
  <c r="O633" i="15"/>
  <c r="Q633" i="15" s="1"/>
  <c r="K633" i="15"/>
  <c r="K652" i="15"/>
  <c r="O652" i="15"/>
  <c r="Q652" i="15" s="1"/>
  <c r="O805" i="15"/>
  <c r="Q805" i="15" s="1"/>
  <c r="K805" i="15"/>
  <c r="K814" i="15"/>
  <c r="O814" i="15"/>
  <c r="Q814" i="15" s="1"/>
  <c r="O850" i="15"/>
  <c r="Q850" i="15" s="1"/>
  <c r="K850" i="15"/>
  <c r="O682" i="15"/>
  <c r="Q682" i="15" s="1"/>
  <c r="K682" i="15"/>
  <c r="Q28" i="15"/>
  <c r="Q36" i="15"/>
  <c r="Q37" i="15"/>
  <c r="N50" i="15"/>
  <c r="Q54" i="15"/>
  <c r="K63" i="15"/>
  <c r="O68" i="15"/>
  <c r="Q68" i="15" s="1"/>
  <c r="O85" i="15"/>
  <c r="Q85" i="15" s="1"/>
  <c r="Q86" i="15"/>
  <c r="O103" i="15"/>
  <c r="Q103" i="15" s="1"/>
  <c r="Q104" i="15"/>
  <c r="Q105" i="15"/>
  <c r="K146" i="15"/>
  <c r="Q165" i="15"/>
  <c r="Q177" i="15"/>
  <c r="K196" i="15"/>
  <c r="P210" i="15"/>
  <c r="Q252" i="15"/>
  <c r="Q302" i="15"/>
  <c r="Q318" i="15"/>
  <c r="O428" i="15"/>
  <c r="Q428" i="15" s="1"/>
  <c r="K428" i="15"/>
  <c r="O489" i="15"/>
  <c r="L486" i="15"/>
  <c r="O486" i="15" s="1"/>
  <c r="K511" i="15"/>
  <c r="O511" i="15"/>
  <c r="Q511" i="15" s="1"/>
  <c r="O557" i="15"/>
  <c r="Q557" i="15" s="1"/>
  <c r="K557" i="15"/>
  <c r="I611" i="15"/>
  <c r="K611" i="15" s="1"/>
  <c r="O612" i="15"/>
  <c r="Q612" i="15" s="1"/>
  <c r="K612" i="15"/>
  <c r="K647" i="15"/>
  <c r="O647" i="15"/>
  <c r="Q647" i="15" s="1"/>
  <c r="M653" i="15"/>
  <c r="P653" i="15" s="1"/>
  <c r="P656" i="15"/>
  <c r="I721" i="15"/>
  <c r="K765" i="15"/>
  <c r="O765" i="15"/>
  <c r="Q765" i="15" s="1"/>
  <c r="K832" i="15"/>
  <c r="O832" i="15"/>
  <c r="Q832" i="15" s="1"/>
  <c r="P671" i="15"/>
  <c r="J668" i="15"/>
  <c r="P668" i="15" s="1"/>
  <c r="O691" i="15"/>
  <c r="Q691" i="15" s="1"/>
  <c r="I689" i="15"/>
  <c r="K689" i="15" s="1"/>
  <c r="K691" i="15"/>
  <c r="K728" i="15"/>
  <c r="O728" i="15"/>
  <c r="Q728" i="15" s="1"/>
  <c r="O817" i="15"/>
  <c r="Q817" i="15" s="1"/>
  <c r="K817" i="15"/>
  <c r="I11" i="15"/>
  <c r="O11" i="15" s="1"/>
  <c r="Q18" i="15"/>
  <c r="Q50" i="15"/>
  <c r="Q66" i="15"/>
  <c r="K75" i="15"/>
  <c r="K128" i="15"/>
  <c r="Q140" i="15"/>
  <c r="Q161" i="15"/>
  <c r="Q173" i="15"/>
  <c r="O183" i="15"/>
  <c r="Q183" i="15" s="1"/>
  <c r="Q214" i="15"/>
  <c r="Q298" i="15"/>
  <c r="Q329" i="15"/>
  <c r="K654" i="15"/>
  <c r="O654" i="15"/>
  <c r="Q654" i="15" s="1"/>
  <c r="O664" i="15"/>
  <c r="Q664" i="15" s="1"/>
  <c r="K664" i="15"/>
  <c r="O720" i="15"/>
  <c r="Q720" i="15" s="1"/>
  <c r="K720" i="15"/>
  <c r="K731" i="15"/>
  <c r="O731" i="15"/>
  <c r="Q731" i="15" s="1"/>
  <c r="O787" i="15"/>
  <c r="Q787" i="15" s="1"/>
  <c r="I783" i="15"/>
  <c r="O783" i="15" s="1"/>
  <c r="K787" i="15"/>
  <c r="Q364" i="15"/>
  <c r="Q372" i="15"/>
  <c r="Q374" i="15"/>
  <c r="Q376" i="15"/>
  <c r="Q385" i="15"/>
  <c r="M404" i="15"/>
  <c r="Q412" i="15"/>
  <c r="Q474" i="15"/>
  <c r="Q481" i="15"/>
  <c r="Q484" i="15"/>
  <c r="Q520" i="15"/>
  <c r="Q545" i="15"/>
  <c r="Q610" i="15"/>
  <c r="Q630" i="15"/>
  <c r="Q708" i="15"/>
  <c r="Q714" i="15"/>
  <c r="M726" i="15"/>
  <c r="Q749" i="15"/>
  <c r="Q777" i="15"/>
  <c r="Q788" i="15"/>
  <c r="Q833" i="15"/>
  <c r="Q415" i="15"/>
  <c r="Q426" i="15"/>
  <c r="Q472" i="15"/>
  <c r="K480" i="15"/>
  <c r="Q495" i="15"/>
  <c r="Q514" i="15"/>
  <c r="K520" i="15"/>
  <c r="Q540" i="15"/>
  <c r="P544" i="15"/>
  <c r="Q548" i="15"/>
  <c r="Q551" i="15"/>
  <c r="Q572" i="15"/>
  <c r="P618" i="15"/>
  <c r="Q699" i="15"/>
  <c r="O735" i="15"/>
  <c r="Q735" i="15" s="1"/>
  <c r="K740" i="15"/>
  <c r="Q742" i="15"/>
  <c r="P770" i="15"/>
  <c r="P806" i="15"/>
  <c r="O819" i="15"/>
  <c r="O820" i="15"/>
  <c r="P822" i="15"/>
  <c r="Q837" i="15"/>
  <c r="K846" i="15"/>
  <c r="K389" i="15"/>
  <c r="K415" i="15"/>
  <c r="O430" i="15"/>
  <c r="Q430" i="15" s="1"/>
  <c r="K448" i="15"/>
  <c r="K453" i="15"/>
  <c r="Q462" i="15"/>
  <c r="Q513" i="15"/>
  <c r="Q530" i="15"/>
  <c r="Q592" i="15"/>
  <c r="K639" i="15"/>
  <c r="O657" i="15"/>
  <c r="Q657" i="15" s="1"/>
  <c r="Q685" i="15"/>
  <c r="K699" i="15"/>
  <c r="Q723" i="15"/>
  <c r="Q750" i="15"/>
  <c r="Q755" i="15"/>
  <c r="Q758" i="15"/>
  <c r="Q776" i="15"/>
  <c r="Q778" i="15"/>
  <c r="K811" i="15"/>
  <c r="Q816" i="15"/>
  <c r="O834" i="15"/>
  <c r="Q834" i="15" s="1"/>
  <c r="Q149" i="15"/>
  <c r="Q78" i="15"/>
  <c r="P89" i="15"/>
  <c r="M19" i="15"/>
  <c r="Q21" i="15"/>
  <c r="K28" i="15"/>
  <c r="Q30" i="15"/>
  <c r="K41" i="15"/>
  <c r="I42" i="15"/>
  <c r="K42" i="15" s="1"/>
  <c r="K44" i="15"/>
  <c r="Q49" i="15"/>
  <c r="Q59" i="15"/>
  <c r="K71" i="15"/>
  <c r="K78" i="15"/>
  <c r="P80" i="15"/>
  <c r="P83" i="15"/>
  <c r="P101" i="15"/>
  <c r="Q117" i="15"/>
  <c r="K139" i="15"/>
  <c r="K140" i="15"/>
  <c r="Q147" i="15"/>
  <c r="J166" i="15"/>
  <c r="K167" i="15"/>
  <c r="K168" i="15"/>
  <c r="Q171" i="15"/>
  <c r="L175" i="15"/>
  <c r="J178" i="15"/>
  <c r="P178" i="15" s="1"/>
  <c r="K182" i="15"/>
  <c r="K181" i="15"/>
  <c r="Q186" i="15"/>
  <c r="K189" i="15"/>
  <c r="Q196" i="15"/>
  <c r="P197" i="15"/>
  <c r="Q199" i="15"/>
  <c r="K201" i="15"/>
  <c r="K203" i="15"/>
  <c r="K213" i="15"/>
  <c r="Q228" i="15"/>
  <c r="Q230" i="15"/>
  <c r="O231" i="15"/>
  <c r="Q231" i="15" s="1"/>
  <c r="L236" i="15"/>
  <c r="L226" i="15" s="1"/>
  <c r="L225" i="15" s="1"/>
  <c r="Q239" i="15"/>
  <c r="O245" i="15"/>
  <c r="Q245" i="15" s="1"/>
  <c r="Q249" i="15"/>
  <c r="K252" i="15"/>
  <c r="Q254" i="15"/>
  <c r="K256" i="15"/>
  <c r="K260" i="15"/>
  <c r="Q270" i="15"/>
  <c r="O271" i="15"/>
  <c r="Q271" i="15" s="1"/>
  <c r="Q274" i="15"/>
  <c r="K276" i="15"/>
  <c r="Q278" i="15"/>
  <c r="K280" i="15"/>
  <c r="Q288" i="15"/>
  <c r="O290" i="15"/>
  <c r="K298" i="15"/>
  <c r="K302" i="15"/>
  <c r="Q313" i="15"/>
  <c r="K318" i="15"/>
  <c r="K324" i="15"/>
  <c r="K329" i="15"/>
  <c r="O332" i="15"/>
  <c r="Q332" i="15" s="1"/>
  <c r="K332" i="15"/>
  <c r="Q354" i="15"/>
  <c r="Q363" i="15"/>
  <c r="O392" i="15"/>
  <c r="Q392" i="15" s="1"/>
  <c r="K392" i="15"/>
  <c r="L407" i="15"/>
  <c r="L381" i="15" s="1"/>
  <c r="O408" i="15"/>
  <c r="Q408" i="15" s="1"/>
  <c r="Q458" i="15"/>
  <c r="Q473" i="15"/>
  <c r="Q488" i="15"/>
  <c r="K542" i="15"/>
  <c r="O542" i="15"/>
  <c r="Q542" i="15" s="1"/>
  <c r="I541" i="15"/>
  <c r="K541" i="15" s="1"/>
  <c r="P552" i="15"/>
  <c r="O562" i="15"/>
  <c r="Q562" i="15" s="1"/>
  <c r="K562" i="15"/>
  <c r="O584" i="15"/>
  <c r="Q584" i="15" s="1"/>
  <c r="K584" i="15"/>
  <c r="O636" i="15"/>
  <c r="Q636" i="15" s="1"/>
  <c r="K636" i="15"/>
  <c r="O345" i="15"/>
  <c r="Q345" i="15" s="1"/>
  <c r="L344" i="15"/>
  <c r="O440" i="15"/>
  <c r="Q440" i="15" s="1"/>
  <c r="K440" i="15"/>
  <c r="O524" i="15"/>
  <c r="Q524" i="15" s="1"/>
  <c r="K524" i="15"/>
  <c r="O589" i="15"/>
  <c r="Q589" i="15" s="1"/>
  <c r="K589" i="15"/>
  <c r="K591" i="15"/>
  <c r="O591" i="15"/>
  <c r="Q591" i="15" s="1"/>
  <c r="O650" i="15"/>
  <c r="Q650" i="15" s="1"/>
  <c r="K650" i="15"/>
  <c r="O680" i="15"/>
  <c r="Q680" i="15" s="1"/>
  <c r="K680" i="15"/>
  <c r="K793" i="15"/>
  <c r="O793" i="15"/>
  <c r="Q793" i="15" s="1"/>
  <c r="Q12" i="15"/>
  <c r="Q14" i="15"/>
  <c r="I22" i="15"/>
  <c r="K22" i="15" s="1"/>
  <c r="Q23" i="15"/>
  <c r="M47" i="15"/>
  <c r="Q62" i="15"/>
  <c r="Q74" i="15"/>
  <c r="I83" i="15"/>
  <c r="O83" i="15" s="1"/>
  <c r="I101" i="15"/>
  <c r="K101" i="15" s="1"/>
  <c r="K117" i="15"/>
  <c r="L121" i="15"/>
  <c r="O121" i="15" s="1"/>
  <c r="Q121" i="15" s="1"/>
  <c r="Q124" i="15"/>
  <c r="Q128" i="15"/>
  <c r="J138" i="15"/>
  <c r="Q145" i="15"/>
  <c r="P151" i="15"/>
  <c r="Q154" i="15"/>
  <c r="O155" i="15"/>
  <c r="Q155" i="15" s="1"/>
  <c r="Q159" i="15"/>
  <c r="O164" i="15"/>
  <c r="Q164" i="15" s="1"/>
  <c r="M175" i="15"/>
  <c r="K184" i="15"/>
  <c r="Q190" i="15"/>
  <c r="Q193" i="15"/>
  <c r="I197" i="15"/>
  <c r="I194" i="15" s="1"/>
  <c r="K199" i="15"/>
  <c r="Q211" i="15"/>
  <c r="O212" i="15"/>
  <c r="Q212" i="15" s="1"/>
  <c r="Q215" i="15"/>
  <c r="J207" i="15"/>
  <c r="I229" i="15"/>
  <c r="K229" i="15" s="1"/>
  <c r="Q234" i="15"/>
  <c r="Q242" i="15"/>
  <c r="Q250" i="15"/>
  <c r="I266" i="15"/>
  <c r="O266" i="15" s="1"/>
  <c r="L286" i="15"/>
  <c r="O286" i="15" s="1"/>
  <c r="P290" i="15"/>
  <c r="Q294" i="15"/>
  <c r="Q308" i="15"/>
  <c r="O386" i="15"/>
  <c r="Q386" i="15" s="1"/>
  <c r="K386" i="15"/>
  <c r="O399" i="15"/>
  <c r="Q399" i="15" s="1"/>
  <c r="K399" i="15"/>
  <c r="O455" i="15"/>
  <c r="Q455" i="15" s="1"/>
  <c r="K455" i="15"/>
  <c r="O476" i="15"/>
  <c r="Q476" i="15" s="1"/>
  <c r="K476" i="15"/>
  <c r="M518" i="15"/>
  <c r="P518" i="15" s="1"/>
  <c r="P521" i="15"/>
  <c r="O553" i="15"/>
  <c r="Q553" i="15" s="1"/>
  <c r="K553" i="15"/>
  <c r="P567" i="15"/>
  <c r="Q567" i="15" s="1"/>
  <c r="M556" i="15"/>
  <c r="K628" i="15"/>
  <c r="O628" i="15"/>
  <c r="Q628" i="15" s="1"/>
  <c r="O632" i="15"/>
  <c r="Q632" i="15" s="1"/>
  <c r="K632" i="15"/>
  <c r="P737" i="15"/>
  <c r="Q65" i="15"/>
  <c r="O387" i="15"/>
  <c r="Q387" i="15" s="1"/>
  <c r="K387" i="15"/>
  <c r="Q32" i="15"/>
  <c r="Q139" i="15"/>
  <c r="Q167" i="15"/>
  <c r="P188" i="15"/>
  <c r="Q201" i="15"/>
  <c r="Q203" i="15"/>
  <c r="Q324" i="15"/>
  <c r="O337" i="15"/>
  <c r="Q337" i="15" s="1"/>
  <c r="K337" i="15"/>
  <c r="Q360" i="15"/>
  <c r="Q367" i="15"/>
  <c r="O405" i="15"/>
  <c r="Q405" i="15" s="1"/>
  <c r="P424" i="15"/>
  <c r="M410" i="15"/>
  <c r="Q433" i="15"/>
  <c r="O438" i="15"/>
  <c r="Q438" i="15" s="1"/>
  <c r="K438" i="15"/>
  <c r="K447" i="15"/>
  <c r="O447" i="15"/>
  <c r="Q447" i="15" s="1"/>
  <c r="P489" i="15"/>
  <c r="K489" i="15"/>
  <c r="K519" i="15"/>
  <c r="O519" i="15"/>
  <c r="Q519" i="15" s="1"/>
  <c r="O566" i="15"/>
  <c r="Q566" i="15" s="1"/>
  <c r="K566" i="15"/>
  <c r="O659" i="15"/>
  <c r="Q659" i="15" s="1"/>
  <c r="K659" i="15"/>
  <c r="Q375" i="15"/>
  <c r="Q391" i="15"/>
  <c r="Q406" i="15"/>
  <c r="Q427" i="15"/>
  <c r="Q452" i="15"/>
  <c r="Q498" i="15"/>
  <c r="Q546" i="15"/>
  <c r="L556" i="15"/>
  <c r="I570" i="15"/>
  <c r="K570" i="15" s="1"/>
  <c r="O595" i="15"/>
  <c r="Q595" i="15" s="1"/>
  <c r="K595" i="15"/>
  <c r="O616" i="15"/>
  <c r="Q616" i="15" s="1"/>
  <c r="K616" i="15"/>
  <c r="J623" i="15"/>
  <c r="P623" i="15" s="1"/>
  <c r="P663" i="15"/>
  <c r="M660" i="15"/>
  <c r="P660" i="15" s="1"/>
  <c r="K677" i="15"/>
  <c r="O677" i="15"/>
  <c r="Q677" i="15" s="1"/>
  <c r="O701" i="15"/>
  <c r="Q701" i="15" s="1"/>
  <c r="K701" i="15"/>
  <c r="O797" i="15"/>
  <c r="Q797" i="15" s="1"/>
  <c r="K797" i="15"/>
  <c r="O812" i="15"/>
  <c r="Q812" i="15" s="1"/>
  <c r="K812" i="15"/>
  <c r="O841" i="15"/>
  <c r="Q841" i="15" s="1"/>
  <c r="K841" i="15"/>
  <c r="Q333" i="15"/>
  <c r="O349" i="15"/>
  <c r="Q349" i="15" s="1"/>
  <c r="K351" i="15"/>
  <c r="Q358" i="15"/>
  <c r="K360" i="15"/>
  <c r="K367" i="15"/>
  <c r="K385" i="15"/>
  <c r="K391" i="15"/>
  <c r="Q409" i="15"/>
  <c r="Q425" i="15"/>
  <c r="Q431" i="15"/>
  <c r="K433" i="15"/>
  <c r="K442" i="15"/>
  <c r="K450" i="15"/>
  <c r="Q453" i="15"/>
  <c r="O454" i="15"/>
  <c r="Q454" i="15" s="1"/>
  <c r="Q456" i="15"/>
  <c r="Q461" i="15"/>
  <c r="Q465" i="15"/>
  <c r="K481" i="15"/>
  <c r="K495" i="15"/>
  <c r="Q507" i="15"/>
  <c r="Q531" i="15"/>
  <c r="Q538" i="15"/>
  <c r="Q560" i="15"/>
  <c r="I559" i="15"/>
  <c r="I556" i="15" s="1"/>
  <c r="O587" i="15"/>
  <c r="Q587" i="15" s="1"/>
  <c r="K587" i="15"/>
  <c r="O590" i="15"/>
  <c r="Q590" i="15" s="1"/>
  <c r="K590" i="15"/>
  <c r="I626" i="15"/>
  <c r="K626" i="15" s="1"/>
  <c r="O693" i="15"/>
  <c r="Q693" i="15" s="1"/>
  <c r="K693" i="15"/>
  <c r="K698" i="15"/>
  <c r="O698" i="15"/>
  <c r="Q698" i="15" s="1"/>
  <c r="K739" i="15"/>
  <c r="O739" i="15"/>
  <c r="Q739" i="15" s="1"/>
  <c r="Q752" i="15"/>
  <c r="Q760" i="15"/>
  <c r="Q356" i="15"/>
  <c r="Q380" i="15"/>
  <c r="Q402" i="15"/>
  <c r="Q417" i="15"/>
  <c r="Q420" i="15"/>
  <c r="K425" i="15"/>
  <c r="Q448" i="15"/>
  <c r="Q468" i="15"/>
  <c r="P478" i="15"/>
  <c r="Q490" i="15"/>
  <c r="Q499" i="15"/>
  <c r="Q502" i="15"/>
  <c r="P541" i="15"/>
  <c r="Q550" i="15"/>
  <c r="K560" i="15"/>
  <c r="K564" i="15"/>
  <c r="Q603" i="15"/>
  <c r="K605" i="15"/>
  <c r="O605" i="15"/>
  <c r="Q605" i="15" s="1"/>
  <c r="P646" i="15"/>
  <c r="O648" i="15"/>
  <c r="Q648" i="15" s="1"/>
  <c r="K648" i="15"/>
  <c r="O690" i="15"/>
  <c r="Q690" i="15" s="1"/>
  <c r="K694" i="15"/>
  <c r="O706" i="15"/>
  <c r="Q706" i="15" s="1"/>
  <c r="K706" i="15"/>
  <c r="J721" i="15"/>
  <c r="P722" i="15"/>
  <c r="K722" i="15"/>
  <c r="O733" i="15"/>
  <c r="Q733" i="15" s="1"/>
  <c r="K733" i="15"/>
  <c r="L759" i="15"/>
  <c r="K763" i="15"/>
  <c r="O763" i="15"/>
  <c r="Q763" i="15" s="1"/>
  <c r="O796" i="15"/>
  <c r="Q796" i="15" s="1"/>
  <c r="K796" i="15"/>
  <c r="Q802" i="15"/>
  <c r="K807" i="15"/>
  <c r="O807" i="15"/>
  <c r="Q807" i="15" s="1"/>
  <c r="O829" i="15"/>
  <c r="Q829" i="15" s="1"/>
  <c r="J828" i="15"/>
  <c r="P828" i="15" s="1"/>
  <c r="P839" i="15"/>
  <c r="M840" i="15"/>
  <c r="M818" i="15" s="1"/>
  <c r="P843" i="15"/>
  <c r="P840" i="15" s="1"/>
  <c r="Q594" i="15"/>
  <c r="Q600" i="15"/>
  <c r="Q606" i="15"/>
  <c r="Q624" i="15"/>
  <c r="Q627" i="15"/>
  <c r="Q662" i="15"/>
  <c r="Q670" i="15"/>
  <c r="Q673" i="15"/>
  <c r="Q676" i="15"/>
  <c r="M675" i="15"/>
  <c r="N675" i="15" s="1"/>
  <c r="I737" i="15"/>
  <c r="O737" i="15" s="1"/>
  <c r="Q808" i="15"/>
  <c r="Q826" i="15"/>
  <c r="I618" i="15"/>
  <c r="Q639" i="15"/>
  <c r="Q645" i="15"/>
  <c r="Q655" i="15"/>
  <c r="K662" i="15"/>
  <c r="K670" i="15"/>
  <c r="Q672" i="15"/>
  <c r="K676" i="15"/>
  <c r="Q688" i="15"/>
  <c r="O692" i="15"/>
  <c r="Q692" i="15" s="1"/>
  <c r="Q709" i="15"/>
  <c r="Q713" i="15"/>
  <c r="K714" i="15"/>
  <c r="Q719" i="15"/>
  <c r="K738" i="15"/>
  <c r="K742" i="15"/>
  <c r="K752" i="15"/>
  <c r="Q757" i="15"/>
  <c r="K760" i="15"/>
  <c r="Q786" i="15"/>
  <c r="Q791" i="15"/>
  <c r="Q800" i="15"/>
  <c r="P813" i="15"/>
  <c r="Q835" i="15"/>
  <c r="Q700" i="15"/>
  <c r="P707" i="15"/>
  <c r="K713" i="15"/>
  <c r="Q740" i="15"/>
  <c r="O741" i="15"/>
  <c r="Q741" i="15" s="1"/>
  <c r="O767" i="15"/>
  <c r="Q767" i="15" s="1"/>
  <c r="O774" i="15"/>
  <c r="Q774" i="15" s="1"/>
  <c r="Q782" i="15"/>
  <c r="Q784" i="15"/>
  <c r="Q795" i="15"/>
  <c r="L801" i="15"/>
  <c r="N801" i="15" s="1"/>
  <c r="K804" i="15"/>
  <c r="K809" i="15"/>
  <c r="Q844" i="15"/>
  <c r="N113" i="14"/>
  <c r="Q123" i="14"/>
  <c r="Q143" i="14"/>
  <c r="M85" i="14"/>
  <c r="M48" i="14" s="1"/>
  <c r="P48" i="14" s="1"/>
  <c r="N49" i="14"/>
  <c r="Q59" i="14"/>
  <c r="Q80" i="14"/>
  <c r="Q50" i="14"/>
  <c r="P86" i="14"/>
  <c r="P10" i="14"/>
  <c r="Q22" i="14"/>
  <c r="P38" i="14"/>
  <c r="Q109" i="14"/>
  <c r="Q144" i="14"/>
  <c r="Q111" i="14"/>
  <c r="J15" i="14"/>
  <c r="B41" i="14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O21" i="14"/>
  <c r="Q21" i="14" s="1"/>
  <c r="O36" i="14"/>
  <c r="Q36" i="14" s="1"/>
  <c r="N52" i="14"/>
  <c r="Q78" i="14"/>
  <c r="O94" i="14"/>
  <c r="Q94" i="14" s="1"/>
  <c r="Q99" i="14"/>
  <c r="Q119" i="14"/>
  <c r="O87" i="14"/>
  <c r="Q87" i="14" s="1"/>
  <c r="O101" i="14"/>
  <c r="Q101" i="14" s="1"/>
  <c r="Q37" i="14"/>
  <c r="P52" i="14"/>
  <c r="Q52" i="14" s="1"/>
  <c r="Q54" i="14"/>
  <c r="Q129" i="14"/>
  <c r="Q29" i="15"/>
  <c r="Q45" i="15"/>
  <c r="O130" i="15"/>
  <c r="Q130" i="15" s="1"/>
  <c r="K130" i="15"/>
  <c r="O277" i="15"/>
  <c r="Q277" i="15" s="1"/>
  <c r="K277" i="15"/>
  <c r="O416" i="15"/>
  <c r="Q416" i="15" s="1"/>
  <c r="I413" i="15"/>
  <c r="K416" i="15"/>
  <c r="O467" i="15"/>
  <c r="Q467" i="15" s="1"/>
  <c r="K467" i="15"/>
  <c r="O625" i="15"/>
  <c r="Q625" i="15" s="1"/>
  <c r="K625" i="15"/>
  <c r="K21" i="15"/>
  <c r="O25" i="15"/>
  <c r="Q25" i="15" s="1"/>
  <c r="P35" i="15"/>
  <c r="K36" i="15"/>
  <c r="O40" i="15"/>
  <c r="Q40" i="15" s="1"/>
  <c r="O43" i="15"/>
  <c r="Q43" i="15" s="1"/>
  <c r="K45" i="15"/>
  <c r="O53" i="15"/>
  <c r="Q53" i="15" s="1"/>
  <c r="O57" i="15"/>
  <c r="Q57" i="15" s="1"/>
  <c r="K59" i="15"/>
  <c r="O61" i="15"/>
  <c r="Q61" i="15" s="1"/>
  <c r="M64" i="15"/>
  <c r="N65" i="15"/>
  <c r="O72" i="15"/>
  <c r="Q72" i="15" s="1"/>
  <c r="I73" i="15"/>
  <c r="K73" i="15" s="1"/>
  <c r="O76" i="15"/>
  <c r="Q76" i="15" s="1"/>
  <c r="O81" i="15"/>
  <c r="Q81" i="15" s="1"/>
  <c r="O84" i="15"/>
  <c r="Q84" i="15" s="1"/>
  <c r="K86" i="15"/>
  <c r="O88" i="15"/>
  <c r="Q88" i="15" s="1"/>
  <c r="O91" i="15"/>
  <c r="Q91" i="15" s="1"/>
  <c r="I92" i="15"/>
  <c r="K92" i="15" s="1"/>
  <c r="K94" i="15"/>
  <c r="O96" i="15"/>
  <c r="Q96" i="15" s="1"/>
  <c r="O99" i="15"/>
  <c r="Q99" i="15" s="1"/>
  <c r="O102" i="15"/>
  <c r="Q102" i="15" s="1"/>
  <c r="K104" i="15"/>
  <c r="K112" i="15"/>
  <c r="Q114" i="15"/>
  <c r="Q118" i="15"/>
  <c r="M120" i="15"/>
  <c r="I126" i="15"/>
  <c r="Q131" i="15"/>
  <c r="Q162" i="15"/>
  <c r="Q191" i="15"/>
  <c r="O216" i="15"/>
  <c r="Q216" i="15" s="1"/>
  <c r="K216" i="15"/>
  <c r="Q232" i="15"/>
  <c r="O243" i="15"/>
  <c r="Q243" i="15" s="1"/>
  <c r="K243" i="15"/>
  <c r="O255" i="15"/>
  <c r="Q255" i="15" s="1"/>
  <c r="K255" i="15"/>
  <c r="Q260" i="15"/>
  <c r="P266" i="15"/>
  <c r="Q280" i="15"/>
  <c r="O307" i="15"/>
  <c r="Q307" i="15" s="1"/>
  <c r="K307" i="15"/>
  <c r="O330" i="15"/>
  <c r="Q330" i="15" s="1"/>
  <c r="K330" i="15"/>
  <c r="I327" i="15"/>
  <c r="O327" i="15" s="1"/>
  <c r="O451" i="15"/>
  <c r="Q451" i="15" s="1"/>
  <c r="K451" i="15"/>
  <c r="O482" i="15"/>
  <c r="Q482" i="15" s="1"/>
  <c r="K482" i="15"/>
  <c r="I478" i="15"/>
  <c r="K478" i="15" s="1"/>
  <c r="M601" i="15"/>
  <c r="P601" i="15" s="1"/>
  <c r="P604" i="15"/>
  <c r="O109" i="15"/>
  <c r="Q109" i="15" s="1"/>
  <c r="N109" i="15"/>
  <c r="L108" i="15"/>
  <c r="P156" i="15"/>
  <c r="J153" i="15"/>
  <c r="O170" i="15"/>
  <c r="Q170" i="15" s="1"/>
  <c r="K170" i="15"/>
  <c r="I169" i="15"/>
  <c r="O304" i="15"/>
  <c r="O309" i="15"/>
  <c r="Q309" i="15" s="1"/>
  <c r="K309" i="15"/>
  <c r="O361" i="15"/>
  <c r="Q361" i="15" s="1"/>
  <c r="K361" i="15"/>
  <c r="I359" i="15"/>
  <c r="K359" i="15" s="1"/>
  <c r="L19" i="15"/>
  <c r="N29" i="15"/>
  <c r="N31" i="15"/>
  <c r="I35" i="15"/>
  <c r="I56" i="15"/>
  <c r="P73" i="15"/>
  <c r="P92" i="15"/>
  <c r="O111" i="15"/>
  <c r="Q111" i="15" s="1"/>
  <c r="O119" i="15"/>
  <c r="Q119" i="15" s="1"/>
  <c r="O132" i="15"/>
  <c r="Q132" i="15" s="1"/>
  <c r="K132" i="15"/>
  <c r="O144" i="15"/>
  <c r="Q144" i="15" s="1"/>
  <c r="K144" i="15"/>
  <c r="I156" i="15"/>
  <c r="O158" i="15"/>
  <c r="Q158" i="15" s="1"/>
  <c r="K158" i="15"/>
  <c r="O163" i="15"/>
  <c r="L153" i="15"/>
  <c r="O180" i="15"/>
  <c r="Q180" i="15" s="1"/>
  <c r="K180" i="15"/>
  <c r="P185" i="15"/>
  <c r="O192" i="15"/>
  <c r="Q192" i="15" s="1"/>
  <c r="I188" i="15"/>
  <c r="K192" i="15"/>
  <c r="O195" i="15"/>
  <c r="Q195" i="15" s="1"/>
  <c r="K195" i="15"/>
  <c r="P205" i="15"/>
  <c r="Q205" i="15" s="1"/>
  <c r="M204" i="15"/>
  <c r="O209" i="15"/>
  <c r="Q209" i="15" s="1"/>
  <c r="K209" i="15"/>
  <c r="L218" i="15"/>
  <c r="O219" i="15"/>
  <c r="Q219" i="15" s="1"/>
  <c r="O227" i="15"/>
  <c r="Q227" i="15" s="1"/>
  <c r="K227" i="15"/>
  <c r="O281" i="15"/>
  <c r="Q281" i="15" s="1"/>
  <c r="K281" i="15"/>
  <c r="O305" i="15"/>
  <c r="Q305" i="15" s="1"/>
  <c r="K305" i="15"/>
  <c r="O323" i="15"/>
  <c r="Q323" i="15" s="1"/>
  <c r="I317" i="15"/>
  <c r="K317" i="15" s="1"/>
  <c r="K323" i="15"/>
  <c r="O366" i="15"/>
  <c r="Q366" i="15" s="1"/>
  <c r="K366" i="15"/>
  <c r="O394" i="15"/>
  <c r="Q394" i="15" s="1"/>
  <c r="K394" i="15"/>
  <c r="O421" i="15"/>
  <c r="Q421" i="15" s="1"/>
  <c r="K421" i="15"/>
  <c r="L134" i="15"/>
  <c r="O135" i="15"/>
  <c r="Q135" i="15" s="1"/>
  <c r="O257" i="15"/>
  <c r="Q257" i="15" s="1"/>
  <c r="K257" i="15"/>
  <c r="K253" i="15"/>
  <c r="O335" i="15"/>
  <c r="Q335" i="15" s="1"/>
  <c r="K335" i="15"/>
  <c r="L67" i="15"/>
  <c r="O116" i="15"/>
  <c r="Q116" i="15" s="1"/>
  <c r="I113" i="15"/>
  <c r="I110" i="15" s="1"/>
  <c r="K110" i="15" s="1"/>
  <c r="K119" i="15"/>
  <c r="L133" i="15"/>
  <c r="O133" i="15" s="1"/>
  <c r="O142" i="15"/>
  <c r="Q142" i="15" s="1"/>
  <c r="K142" i="15"/>
  <c r="O187" i="15"/>
  <c r="Q187" i="15" s="1"/>
  <c r="K187" i="15"/>
  <c r="M236" i="15"/>
  <c r="N236" i="15" s="1"/>
  <c r="Q256" i="15"/>
  <c r="O259" i="15"/>
  <c r="Q259" i="15" s="1"/>
  <c r="K259" i="15"/>
  <c r="Q276" i="15"/>
  <c r="O279" i="15"/>
  <c r="Q279" i="15" s="1"/>
  <c r="K279" i="15"/>
  <c r="I275" i="15"/>
  <c r="K275" i="15" s="1"/>
  <c r="M263" i="15"/>
  <c r="O295" i="15"/>
  <c r="Q295" i="15" s="1"/>
  <c r="K295" i="15"/>
  <c r="O311" i="15"/>
  <c r="Q311" i="15" s="1"/>
  <c r="K311" i="15"/>
  <c r="O328" i="15"/>
  <c r="Q328" i="15" s="1"/>
  <c r="K328" i="15"/>
  <c r="O400" i="15"/>
  <c r="Q400" i="15" s="1"/>
  <c r="K400" i="15"/>
  <c r="I512" i="15"/>
  <c r="O512" i="15" s="1"/>
  <c r="O516" i="15"/>
  <c r="Q516" i="15" s="1"/>
  <c r="K516" i="15"/>
  <c r="J123" i="15"/>
  <c r="I141" i="15"/>
  <c r="M163" i="15"/>
  <c r="N163" i="15" s="1"/>
  <c r="O184" i="15"/>
  <c r="Q184" i="15" s="1"/>
  <c r="L204" i="15"/>
  <c r="O213" i="15"/>
  <c r="Q213" i="15" s="1"/>
  <c r="M217" i="15"/>
  <c r="O248" i="15"/>
  <c r="Q248" i="15" s="1"/>
  <c r="O264" i="15"/>
  <c r="Q264" i="15" s="1"/>
  <c r="O300" i="15"/>
  <c r="Q300" i="15" s="1"/>
  <c r="P304" i="15"/>
  <c r="Q316" i="15"/>
  <c r="Q326" i="15"/>
  <c r="P327" i="15"/>
  <c r="Q331" i="15"/>
  <c r="Q336" i="15"/>
  <c r="Q339" i="15"/>
  <c r="O348" i="15"/>
  <c r="Q348" i="15" s="1"/>
  <c r="P350" i="15"/>
  <c r="O398" i="15"/>
  <c r="Q398" i="15" s="1"/>
  <c r="K398" i="15"/>
  <c r="O443" i="15"/>
  <c r="Q443" i="15" s="1"/>
  <c r="K443" i="15"/>
  <c r="K496" i="15"/>
  <c r="J493" i="15"/>
  <c r="I729" i="15"/>
  <c r="O729" i="15" s="1"/>
  <c r="O732" i="15"/>
  <c r="Q732" i="15" s="1"/>
  <c r="K732" i="15"/>
  <c r="K315" i="15"/>
  <c r="K325" i="15"/>
  <c r="Q334" i="15"/>
  <c r="Q343" i="15"/>
  <c r="O382" i="15"/>
  <c r="Q382" i="15" s="1"/>
  <c r="K382" i="15"/>
  <c r="P393" i="15"/>
  <c r="P439" i="15"/>
  <c r="L445" i="15"/>
  <c r="N445" i="15" s="1"/>
  <c r="O446" i="15"/>
  <c r="Q446" i="15" s="1"/>
  <c r="O319" i="15"/>
  <c r="Q319" i="15" s="1"/>
  <c r="K319" i="15"/>
  <c r="I350" i="15"/>
  <c r="O350" i="15" s="1"/>
  <c r="O352" i="15"/>
  <c r="Q352" i="15" s="1"/>
  <c r="K352" i="15"/>
  <c r="P377" i="15"/>
  <c r="M371" i="15"/>
  <c r="O396" i="15"/>
  <c r="Q396" i="15" s="1"/>
  <c r="K396" i="15"/>
  <c r="M381" i="15"/>
  <c r="P407" i="15"/>
  <c r="O423" i="15"/>
  <c r="Q423" i="15" s="1"/>
  <c r="K423" i="15"/>
  <c r="O441" i="15"/>
  <c r="Q441" i="15" s="1"/>
  <c r="K441" i="15"/>
  <c r="Q460" i="15"/>
  <c r="I536" i="15"/>
  <c r="O536" i="15" s="1"/>
  <c r="O539" i="15"/>
  <c r="Q539" i="15" s="1"/>
  <c r="K539" i="15"/>
  <c r="O607" i="15"/>
  <c r="Q607" i="15" s="1"/>
  <c r="K607" i="15"/>
  <c r="I604" i="15"/>
  <c r="I601" i="15" s="1"/>
  <c r="K601" i="15" s="1"/>
  <c r="O429" i="15"/>
  <c r="Q429" i="15" s="1"/>
  <c r="O437" i="15"/>
  <c r="Q437" i="15" s="1"/>
  <c r="M444" i="15"/>
  <c r="O477" i="15"/>
  <c r="Q477" i="15" s="1"/>
  <c r="Q485" i="15"/>
  <c r="P486" i="15"/>
  <c r="O497" i="15"/>
  <c r="Q497" i="15" s="1"/>
  <c r="K497" i="15"/>
  <c r="Q505" i="15"/>
  <c r="O508" i="15"/>
  <c r="Q508" i="15" s="1"/>
  <c r="K508" i="15"/>
  <c r="J533" i="15"/>
  <c r="O537" i="15"/>
  <c r="Q537" i="15" s="1"/>
  <c r="K537" i="15"/>
  <c r="L541" i="15"/>
  <c r="O544" i="15"/>
  <c r="O554" i="15"/>
  <c r="Q554" i="15" s="1"/>
  <c r="K554" i="15"/>
  <c r="I552" i="15"/>
  <c r="I549" i="15" s="1"/>
  <c r="Q571" i="15"/>
  <c r="Q575" i="15"/>
  <c r="P596" i="15"/>
  <c r="Q598" i="15"/>
  <c r="O651" i="15"/>
  <c r="Q651" i="15" s="1"/>
  <c r="K651" i="15"/>
  <c r="I649" i="15"/>
  <c r="I493" i="15"/>
  <c r="O493" i="15" s="1"/>
  <c r="O494" i="15"/>
  <c r="Q494" i="15" s="1"/>
  <c r="M493" i="15"/>
  <c r="P496" i="15"/>
  <c r="O500" i="15"/>
  <c r="Q500" i="15" s="1"/>
  <c r="K500" i="15"/>
  <c r="L501" i="15"/>
  <c r="O506" i="15"/>
  <c r="Q506" i="15" s="1"/>
  <c r="K506" i="15"/>
  <c r="I504" i="15"/>
  <c r="J509" i="15"/>
  <c r="P509" i="15" s="1"/>
  <c r="O525" i="15"/>
  <c r="Q525" i="15" s="1"/>
  <c r="K525" i="15"/>
  <c r="I596" i="15"/>
  <c r="K596" i="15" s="1"/>
  <c r="O599" i="15"/>
  <c r="Q599" i="15" s="1"/>
  <c r="K599" i="15"/>
  <c r="O602" i="15"/>
  <c r="Q602" i="15" s="1"/>
  <c r="K602" i="15"/>
  <c r="L646" i="15"/>
  <c r="L660" i="15"/>
  <c r="L518" i="15"/>
  <c r="O523" i="15"/>
  <c r="Q523" i="15" s="1"/>
  <c r="K523" i="15"/>
  <c r="I521" i="15"/>
  <c r="O521" i="15" s="1"/>
  <c r="O558" i="15"/>
  <c r="Q558" i="15" s="1"/>
  <c r="K558" i="15"/>
  <c r="J578" i="15"/>
  <c r="I581" i="15"/>
  <c r="O581" i="15" s="1"/>
  <c r="O582" i="15"/>
  <c r="Q582" i="15" s="1"/>
  <c r="K582" i="15"/>
  <c r="O586" i="15"/>
  <c r="Q586" i="15" s="1"/>
  <c r="K586" i="15"/>
  <c r="J593" i="15"/>
  <c r="O597" i="15"/>
  <c r="Q597" i="15" s="1"/>
  <c r="K597" i="15"/>
  <c r="O510" i="15"/>
  <c r="Q510" i="15" s="1"/>
  <c r="P512" i="15"/>
  <c r="O527" i="15"/>
  <c r="Q527" i="15" s="1"/>
  <c r="P529" i="15"/>
  <c r="O534" i="15"/>
  <c r="Q534" i="15" s="1"/>
  <c r="P536" i="15"/>
  <c r="O564" i="15"/>
  <c r="Q564" i="15" s="1"/>
  <c r="O579" i="15"/>
  <c r="Q579" i="15" s="1"/>
  <c r="P581" i="15"/>
  <c r="I634" i="15"/>
  <c r="K634" i="15" s="1"/>
  <c r="O637" i="15"/>
  <c r="Q637" i="15" s="1"/>
  <c r="K637" i="15"/>
  <c r="I641" i="15"/>
  <c r="K641" i="15" s="1"/>
  <c r="O644" i="15"/>
  <c r="Q644" i="15" s="1"/>
  <c r="K644" i="15"/>
  <c r="O674" i="15"/>
  <c r="Q674" i="15" s="1"/>
  <c r="K674" i="15"/>
  <c r="I671" i="15"/>
  <c r="O671" i="15" s="1"/>
  <c r="I678" i="15"/>
  <c r="K678" i="15" s="1"/>
  <c r="O681" i="15"/>
  <c r="Q681" i="15" s="1"/>
  <c r="K681" i="15"/>
  <c r="O687" i="15"/>
  <c r="Q687" i="15" s="1"/>
  <c r="K687" i="15"/>
  <c r="K610" i="15"/>
  <c r="O617" i="15"/>
  <c r="Q617" i="15" s="1"/>
  <c r="K617" i="15"/>
  <c r="J631" i="15"/>
  <c r="O635" i="15"/>
  <c r="Q635" i="15" s="1"/>
  <c r="K635" i="15"/>
  <c r="J638" i="15"/>
  <c r="O642" i="15"/>
  <c r="Q642" i="15" s="1"/>
  <c r="K642" i="15"/>
  <c r="Q667" i="15"/>
  <c r="J675" i="15"/>
  <c r="O679" i="15"/>
  <c r="Q679" i="15" s="1"/>
  <c r="K679" i="15"/>
  <c r="Q694" i="15"/>
  <c r="Q702" i="15"/>
  <c r="O716" i="15"/>
  <c r="Q716" i="15" s="1"/>
  <c r="K716" i="15"/>
  <c r="L653" i="15"/>
  <c r="O658" i="15"/>
  <c r="Q658" i="15" s="1"/>
  <c r="K658" i="15"/>
  <c r="I656" i="15"/>
  <c r="O656" i="15" s="1"/>
  <c r="L668" i="15"/>
  <c r="P689" i="15"/>
  <c r="O695" i="15"/>
  <c r="Q695" i="15" s="1"/>
  <c r="K695" i="15"/>
  <c r="O705" i="15"/>
  <c r="Q705" i="15" s="1"/>
  <c r="K705" i="15"/>
  <c r="P724" i="15"/>
  <c r="M721" i="15"/>
  <c r="O621" i="15"/>
  <c r="Q621" i="15" s="1"/>
  <c r="O629" i="15"/>
  <c r="Q629" i="15" s="1"/>
  <c r="P634" i="15"/>
  <c r="P641" i="15"/>
  <c r="P678" i="15"/>
  <c r="K707" i="15"/>
  <c r="J726" i="15"/>
  <c r="O730" i="15"/>
  <c r="Q730" i="15" s="1"/>
  <c r="K730" i="15"/>
  <c r="Q747" i="15"/>
  <c r="O756" i="15"/>
  <c r="Q756" i="15" s="1"/>
  <c r="I754" i="15"/>
  <c r="K756" i="15"/>
  <c r="O768" i="15"/>
  <c r="Q768" i="15" s="1"/>
  <c r="K768" i="15"/>
  <c r="O815" i="15"/>
  <c r="Q815" i="15" s="1"/>
  <c r="K815" i="15"/>
  <c r="L828" i="15"/>
  <c r="L818" i="15" s="1"/>
  <c r="I696" i="15"/>
  <c r="K700" i="15"/>
  <c r="Q703" i="15"/>
  <c r="P715" i="15"/>
  <c r="Q717" i="15"/>
  <c r="K724" i="15"/>
  <c r="O736" i="15"/>
  <c r="Q736" i="15" s="1"/>
  <c r="K736" i="15"/>
  <c r="O748" i="15"/>
  <c r="Q748" i="15" s="1"/>
  <c r="I746" i="15"/>
  <c r="K748" i="15"/>
  <c r="O753" i="15"/>
  <c r="Q753" i="15" s="1"/>
  <c r="K753" i="15"/>
  <c r="O764" i="15"/>
  <c r="Q764" i="15" s="1"/>
  <c r="K764" i="15"/>
  <c r="O775" i="15"/>
  <c r="Q775" i="15" s="1"/>
  <c r="K775" i="15"/>
  <c r="I715" i="15"/>
  <c r="O715" i="15" s="1"/>
  <c r="O718" i="15"/>
  <c r="Q718" i="15" s="1"/>
  <c r="K718" i="15"/>
  <c r="O724" i="15"/>
  <c r="O734" i="15"/>
  <c r="Q734" i="15" s="1"/>
  <c r="K734" i="15"/>
  <c r="O745" i="15"/>
  <c r="Q745" i="15" s="1"/>
  <c r="K745" i="15"/>
  <c r="O751" i="15"/>
  <c r="Q751" i="15" s="1"/>
  <c r="K751" i="15"/>
  <c r="O761" i="15"/>
  <c r="Q761" i="15" s="1"/>
  <c r="K761" i="15"/>
  <c r="O845" i="15"/>
  <c r="Q845" i="15" s="1"/>
  <c r="K845" i="15"/>
  <c r="O707" i="15"/>
  <c r="O727" i="15"/>
  <c r="Q727" i="15" s="1"/>
  <c r="P729" i="15"/>
  <c r="O738" i="15"/>
  <c r="Q738" i="15" s="1"/>
  <c r="P799" i="15"/>
  <c r="Q799" i="15" s="1"/>
  <c r="M798" i="15"/>
  <c r="Q809" i="15"/>
  <c r="Q811" i="15"/>
  <c r="J819" i="15"/>
  <c r="P820" i="15"/>
  <c r="K820" i="15"/>
  <c r="Q838" i="15"/>
  <c r="O842" i="15"/>
  <c r="Q842" i="15" s="1"/>
  <c r="K842" i="15"/>
  <c r="O851" i="15"/>
  <c r="Q851" i="15" s="1"/>
  <c r="K851" i="15"/>
  <c r="O766" i="15"/>
  <c r="Q766" i="15" s="1"/>
  <c r="K766" i="15"/>
  <c r="O762" i="15"/>
  <c r="O773" i="15"/>
  <c r="Q773" i="15" s="1"/>
  <c r="K773" i="15"/>
  <c r="P783" i="15"/>
  <c r="O794" i="15"/>
  <c r="Q794" i="15" s="1"/>
  <c r="K794" i="15"/>
  <c r="Q827" i="15"/>
  <c r="O849" i="15"/>
  <c r="Q849" i="15" s="1"/>
  <c r="I843" i="15"/>
  <c r="I840" i="15" s="1"/>
  <c r="K840" i="15" s="1"/>
  <c r="K849" i="15"/>
  <c r="O847" i="15"/>
  <c r="Q847" i="15" s="1"/>
  <c r="K847" i="15"/>
  <c r="I806" i="15"/>
  <c r="K829" i="15"/>
  <c r="N136" i="14"/>
  <c r="Q55" i="14"/>
  <c r="P15" i="14"/>
  <c r="Q41" i="14"/>
  <c r="N90" i="14"/>
  <c r="N98" i="14"/>
  <c r="Q100" i="14"/>
  <c r="N116" i="14"/>
  <c r="Q118" i="14"/>
  <c r="N121" i="14"/>
  <c r="Q122" i="14"/>
  <c r="O136" i="14"/>
  <c r="Q110" i="14"/>
  <c r="I18" i="14"/>
  <c r="Q33" i="14"/>
  <c r="J35" i="14"/>
  <c r="J14" i="14" s="1"/>
  <c r="J9" i="14" s="1"/>
  <c r="O10" i="14"/>
  <c r="K22" i="14"/>
  <c r="Q29" i="14"/>
  <c r="Q30" i="14"/>
  <c r="Q40" i="14"/>
  <c r="Q43" i="14"/>
  <c r="Q49" i="14"/>
  <c r="Q58" i="14"/>
  <c r="Q64" i="14"/>
  <c r="Q82" i="14"/>
  <c r="O107" i="14"/>
  <c r="Q107" i="14" s="1"/>
  <c r="Q108" i="14"/>
  <c r="O126" i="14"/>
  <c r="Q126" i="14" s="1"/>
  <c r="Q127" i="14"/>
  <c r="O132" i="14"/>
  <c r="Q132" i="14" s="1"/>
  <c r="Q145" i="14"/>
  <c r="K12" i="14"/>
  <c r="Q16" i="14"/>
  <c r="K19" i="14"/>
  <c r="Q23" i="14"/>
  <c r="Q63" i="14"/>
  <c r="Q68" i="14"/>
  <c r="Q116" i="14"/>
  <c r="Q131" i="14"/>
  <c r="Q139" i="14"/>
  <c r="Q13" i="14"/>
  <c r="O19" i="14"/>
  <c r="Q19" i="14" s="1"/>
  <c r="Q28" i="14"/>
  <c r="Q31" i="14"/>
  <c r="Q34" i="14"/>
  <c r="M44" i="14"/>
  <c r="M35" i="14" s="1"/>
  <c r="M14" i="14" s="1"/>
  <c r="Q57" i="14"/>
  <c r="Q70" i="14"/>
  <c r="Q76" i="14"/>
  <c r="Q81" i="14"/>
  <c r="N92" i="14"/>
  <c r="N96" i="14"/>
  <c r="O113" i="14"/>
  <c r="Q113" i="14" s="1"/>
  <c r="Q114" i="14"/>
  <c r="Q120" i="14"/>
  <c r="Q141" i="14"/>
  <c r="Q92" i="14"/>
  <c r="Q96" i="14"/>
  <c r="K20" i="14"/>
  <c r="Q60" i="14"/>
  <c r="Q71" i="14"/>
  <c r="Q136" i="14"/>
  <c r="Q12" i="14"/>
  <c r="Q17" i="14"/>
  <c r="O25" i="14"/>
  <c r="Q25" i="14" s="1"/>
  <c r="Q26" i="14"/>
  <c r="O53" i="14"/>
  <c r="Q53" i="14" s="1"/>
  <c r="Q56" i="14"/>
  <c r="N64" i="14"/>
  <c r="Q66" i="14"/>
  <c r="O73" i="14"/>
  <c r="Q73" i="14" s="1"/>
  <c r="Q74" i="14"/>
  <c r="Q79" i="14"/>
  <c r="Q84" i="14"/>
  <c r="Q117" i="14"/>
  <c r="Q137" i="14"/>
  <c r="Q20" i="14"/>
  <c r="O42" i="14"/>
  <c r="Q42" i="14" s="1"/>
  <c r="K42" i="14"/>
  <c r="O91" i="14"/>
  <c r="Q91" i="14" s="1"/>
  <c r="N91" i="14"/>
  <c r="O106" i="14"/>
  <c r="Q106" i="14" s="1"/>
  <c r="N106" i="14"/>
  <c r="O112" i="14"/>
  <c r="Q112" i="14" s="1"/>
  <c r="N112" i="14"/>
  <c r="K10" i="14"/>
  <c r="O11" i="14"/>
  <c r="L32" i="14"/>
  <c r="O32" i="14" s="1"/>
  <c r="Q32" i="14" s="1"/>
  <c r="K37" i="14"/>
  <c r="Q69" i="14"/>
  <c r="Q77" i="14"/>
  <c r="O97" i="14"/>
  <c r="Q97" i="14" s="1"/>
  <c r="N97" i="14"/>
  <c r="O102" i="14"/>
  <c r="Q102" i="14" s="1"/>
  <c r="N102" i="14"/>
  <c r="Q104" i="14"/>
  <c r="Q124" i="14"/>
  <c r="Q128" i="14"/>
  <c r="O130" i="14"/>
  <c r="Q130" i="14" s="1"/>
  <c r="N130" i="14"/>
  <c r="Q133" i="14"/>
  <c r="O140" i="14"/>
  <c r="Q140" i="14" s="1"/>
  <c r="N140" i="14"/>
  <c r="Q142" i="14"/>
  <c r="O148" i="14"/>
  <c r="Q148" i="14" s="1"/>
  <c r="N148" i="14"/>
  <c r="O62" i="14"/>
  <c r="Q62" i="14" s="1"/>
  <c r="L51" i="14"/>
  <c r="N62" i="14"/>
  <c r="O86" i="14"/>
  <c r="N86" i="14"/>
  <c r="L85" i="14"/>
  <c r="N33" i="14"/>
  <c r="I38" i="14"/>
  <c r="O45" i="14"/>
  <c r="Q45" i="14" s="1"/>
  <c r="L44" i="14"/>
  <c r="O88" i="14"/>
  <c r="Q88" i="14" s="1"/>
  <c r="N88" i="14"/>
  <c r="O95" i="14"/>
  <c r="Q95" i="14" s="1"/>
  <c r="N95" i="14"/>
  <c r="Q121" i="14"/>
  <c r="O125" i="14"/>
  <c r="Q125" i="14" s="1"/>
  <c r="N125" i="14"/>
  <c r="O147" i="14"/>
  <c r="L146" i="14"/>
  <c r="O146" i="14" s="1"/>
  <c r="K11" i="14"/>
  <c r="P11" i="14"/>
  <c r="O39" i="14"/>
  <c r="Q39" i="14" s="1"/>
  <c r="K39" i="14"/>
  <c r="N45" i="14"/>
  <c r="Q46" i="14"/>
  <c r="Q61" i="14"/>
  <c r="Q67" i="14"/>
  <c r="Q90" i="14"/>
  <c r="O93" i="14"/>
  <c r="Q93" i="14" s="1"/>
  <c r="N93" i="14"/>
  <c r="Q98" i="14"/>
  <c r="P85" i="14"/>
  <c r="N69" i="14"/>
  <c r="N128" i="14"/>
  <c r="N133" i="14"/>
  <c r="N137" i="14"/>
  <c r="N78" i="13"/>
  <c r="P9" i="19" l="1"/>
  <c r="N9" i="19"/>
  <c r="P10" i="18"/>
  <c r="N10" i="18"/>
  <c r="M9" i="17"/>
  <c r="N42" i="17"/>
  <c r="P49" i="16"/>
  <c r="N71" i="16"/>
  <c r="P133" i="15"/>
  <c r="N133" i="15"/>
  <c r="P344" i="15"/>
  <c r="N344" i="15"/>
  <c r="P381" i="15"/>
  <c r="N381" i="15"/>
  <c r="P286" i="15"/>
  <c r="Q286" i="15" s="1"/>
  <c r="N204" i="15"/>
  <c r="P136" i="15"/>
  <c r="Q136" i="15" s="1"/>
  <c r="N136" i="15"/>
  <c r="P289" i="15"/>
  <c r="Q289" i="15" s="1"/>
  <c r="N289" i="15"/>
  <c r="N342" i="15"/>
  <c r="P556" i="15"/>
  <c r="N556" i="15"/>
  <c r="N175" i="15"/>
  <c r="J577" i="15"/>
  <c r="P404" i="15"/>
  <c r="N404" i="15"/>
  <c r="N407" i="15"/>
  <c r="Q86" i="14"/>
  <c r="B139" i="15"/>
  <c r="B140" i="15" s="1"/>
  <c r="B141" i="15" s="1"/>
  <c r="B142" i="15" s="1"/>
  <c r="B143" i="15" s="1"/>
  <c r="B144" i="15" s="1"/>
  <c r="B145" i="15" s="1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B162" i="15" s="1"/>
  <c r="B163" i="15" s="1"/>
  <c r="B164" i="15" s="1"/>
  <c r="B165" i="15" s="1"/>
  <c r="B166" i="15" s="1"/>
  <c r="B167" i="15" s="1"/>
  <c r="B168" i="15" s="1"/>
  <c r="B169" i="15" s="1"/>
  <c r="B170" i="15" s="1"/>
  <c r="B171" i="15" s="1"/>
  <c r="I686" i="15"/>
  <c r="O686" i="15" s="1"/>
  <c r="Q722" i="15"/>
  <c r="O689" i="15"/>
  <c r="Q689" i="15" s="1"/>
  <c r="I803" i="15"/>
  <c r="O803" i="15" s="1"/>
  <c r="I828" i="15"/>
  <c r="K828" i="15" s="1"/>
  <c r="I660" i="15"/>
  <c r="K660" i="15" s="1"/>
  <c r="O588" i="15"/>
  <c r="Q588" i="15" s="1"/>
  <c r="P410" i="15"/>
  <c r="P759" i="15"/>
  <c r="L341" i="15"/>
  <c r="L314" i="15" s="1"/>
  <c r="Q831" i="15"/>
  <c r="I743" i="15"/>
  <c r="K743" i="15" s="1"/>
  <c r="O663" i="15"/>
  <c r="Q663" i="15" s="1"/>
  <c r="K529" i="15"/>
  <c r="M98" i="15"/>
  <c r="P98" i="15" s="1"/>
  <c r="M341" i="15"/>
  <c r="O570" i="15"/>
  <c r="Q570" i="15" s="1"/>
  <c r="K194" i="15"/>
  <c r="Q822" i="15"/>
  <c r="O181" i="15"/>
  <c r="Q181" i="15" s="1"/>
  <c r="K831" i="15"/>
  <c r="O407" i="15"/>
  <c r="Q407" i="15" s="1"/>
  <c r="Q137" i="15"/>
  <c r="O344" i="15"/>
  <c r="Q344" i="15" s="1"/>
  <c r="L263" i="15"/>
  <c r="N263" i="15" s="1"/>
  <c r="O721" i="15"/>
  <c r="P475" i="15"/>
  <c r="O541" i="15"/>
  <c r="Q541" i="15" s="1"/>
  <c r="Q133" i="15"/>
  <c r="K83" i="15"/>
  <c r="N121" i="15"/>
  <c r="Q762" i="15"/>
  <c r="O478" i="15"/>
  <c r="Q478" i="15" s="1"/>
  <c r="P704" i="15"/>
  <c r="O9" i="19"/>
  <c r="Q9" i="19" s="1"/>
  <c r="K9" i="19"/>
  <c r="O10" i="18"/>
  <c r="K10" i="18"/>
  <c r="Q10" i="18"/>
  <c r="O42" i="17"/>
  <c r="O9" i="17"/>
  <c r="K9" i="17"/>
  <c r="P42" i="17"/>
  <c r="Q42" i="17" s="1"/>
  <c r="Q44" i="16"/>
  <c r="L71" i="16"/>
  <c r="O103" i="16"/>
  <c r="Q103" i="16" s="1"/>
  <c r="O14" i="16"/>
  <c r="Q14" i="16" s="1"/>
  <c r="K14" i="16"/>
  <c r="P36" i="16"/>
  <c r="Q36" i="16" s="1"/>
  <c r="K36" i="16"/>
  <c r="O52" i="16"/>
  <c r="Q52" i="16" s="1"/>
  <c r="L49" i="16"/>
  <c r="N49" i="16" s="1"/>
  <c r="O93" i="16"/>
  <c r="Q93" i="16" s="1"/>
  <c r="I92" i="16"/>
  <c r="K93" i="16"/>
  <c r="P102" i="16"/>
  <c r="K102" i="16"/>
  <c r="J10" i="16"/>
  <c r="O71" i="16"/>
  <c r="K71" i="16"/>
  <c r="Q37" i="16"/>
  <c r="M31" i="16"/>
  <c r="P71" i="16"/>
  <c r="O83" i="16"/>
  <c r="Q83" i="16" s="1"/>
  <c r="K83" i="16"/>
  <c r="O130" i="16"/>
  <c r="Q130" i="16" s="1"/>
  <c r="L114" i="16"/>
  <c r="O114" i="16" s="1"/>
  <c r="Q114" i="16"/>
  <c r="I585" i="15"/>
  <c r="K585" i="15" s="1"/>
  <c r="K327" i="15"/>
  <c r="Q327" i="15"/>
  <c r="Q290" i="15"/>
  <c r="L120" i="15"/>
  <c r="L110" i="15" s="1"/>
  <c r="O110" i="15" s="1"/>
  <c r="O556" i="15"/>
  <c r="Q556" i="15" s="1"/>
  <c r="I226" i="15"/>
  <c r="I225" i="15" s="1"/>
  <c r="O225" i="15" s="1"/>
  <c r="Q783" i="15"/>
  <c r="Q707" i="15"/>
  <c r="K783" i="15"/>
  <c r="O626" i="15"/>
  <c r="Q626" i="15" s="1"/>
  <c r="O229" i="15"/>
  <c r="Q229" i="15" s="1"/>
  <c r="L39" i="15"/>
  <c r="L404" i="15"/>
  <c r="O404" i="15" s="1"/>
  <c r="Q404" i="15" s="1"/>
  <c r="N48" i="15"/>
  <c r="Q377" i="15"/>
  <c r="K721" i="15"/>
  <c r="O529" i="15"/>
  <c r="Q529" i="15" s="1"/>
  <c r="Q729" i="15"/>
  <c r="K604" i="15"/>
  <c r="L371" i="15"/>
  <c r="O371" i="15" s="1"/>
  <c r="Q581" i="15"/>
  <c r="O526" i="15"/>
  <c r="I780" i="15"/>
  <c r="K780" i="15" s="1"/>
  <c r="I726" i="15"/>
  <c r="O726" i="15" s="1"/>
  <c r="P686" i="15"/>
  <c r="Q486" i="15"/>
  <c r="O601" i="15"/>
  <c r="Q601" i="15" s="1"/>
  <c r="Q489" i="15"/>
  <c r="K770" i="15"/>
  <c r="K729" i="15"/>
  <c r="Q656" i="15"/>
  <c r="I623" i="15"/>
  <c r="O623" i="15" s="1"/>
  <c r="Q623" i="15" s="1"/>
  <c r="O604" i="15"/>
  <c r="Q604" i="15" s="1"/>
  <c r="Q521" i="15"/>
  <c r="O48" i="15"/>
  <c r="Q48" i="15" s="1"/>
  <c r="K11" i="15"/>
  <c r="N47" i="15"/>
  <c r="Q11" i="15"/>
  <c r="I608" i="15"/>
  <c r="K608" i="15" s="1"/>
  <c r="Q496" i="15"/>
  <c r="Q544" i="15"/>
  <c r="I80" i="15"/>
  <c r="K210" i="15"/>
  <c r="I509" i="15"/>
  <c r="O509" i="15" s="1"/>
  <c r="Q509" i="15" s="1"/>
  <c r="Q304" i="15"/>
  <c r="O611" i="15"/>
  <c r="Q611" i="15" s="1"/>
  <c r="I207" i="15"/>
  <c r="K207" i="15" s="1"/>
  <c r="M148" i="15"/>
  <c r="P19" i="15"/>
  <c r="Q770" i="15"/>
  <c r="Q210" i="15"/>
  <c r="K762" i="15"/>
  <c r="P675" i="15"/>
  <c r="I381" i="15"/>
  <c r="O381" i="15" s="1"/>
  <c r="Q381" i="15" s="1"/>
  <c r="K384" i="15"/>
  <c r="O197" i="15"/>
  <c r="Q197" i="15" s="1"/>
  <c r="Q266" i="15"/>
  <c r="K244" i="15"/>
  <c r="K197" i="15"/>
  <c r="K737" i="15"/>
  <c r="Q820" i="15"/>
  <c r="O813" i="15"/>
  <c r="Q813" i="15" s="1"/>
  <c r="Q671" i="15"/>
  <c r="Q393" i="15"/>
  <c r="P721" i="15"/>
  <c r="O236" i="15"/>
  <c r="K304" i="15"/>
  <c r="I178" i="15"/>
  <c r="O178" i="15" s="1"/>
  <c r="Q178" i="15" s="1"/>
  <c r="K266" i="15"/>
  <c r="O806" i="15"/>
  <c r="Q806" i="15" s="1"/>
  <c r="O559" i="15"/>
  <c r="Q559" i="15" s="1"/>
  <c r="K559" i="15"/>
  <c r="O424" i="15"/>
  <c r="Q424" i="15" s="1"/>
  <c r="K424" i="15"/>
  <c r="P175" i="15"/>
  <c r="M166" i="15"/>
  <c r="O101" i="15"/>
  <c r="Q101" i="15" s="1"/>
  <c r="I98" i="15"/>
  <c r="K98" i="15" s="1"/>
  <c r="O175" i="15"/>
  <c r="L166" i="15"/>
  <c r="O296" i="15"/>
  <c r="Q296" i="15" s="1"/>
  <c r="K296" i="15"/>
  <c r="I533" i="15"/>
  <c r="O533" i="15" s="1"/>
  <c r="I293" i="15"/>
  <c r="O293" i="15" s="1"/>
  <c r="Q293" i="15" s="1"/>
  <c r="I759" i="15"/>
  <c r="K759" i="15" s="1"/>
  <c r="K512" i="15"/>
  <c r="I475" i="15"/>
  <c r="K475" i="15" s="1"/>
  <c r="P263" i="15"/>
  <c r="O801" i="15"/>
  <c r="Q801" i="15" s="1"/>
  <c r="L798" i="15"/>
  <c r="N798" i="15" s="1"/>
  <c r="O22" i="15"/>
  <c r="Q22" i="15" s="1"/>
  <c r="P47" i="15"/>
  <c r="Q47" i="15" s="1"/>
  <c r="M39" i="15"/>
  <c r="O151" i="15"/>
  <c r="Q151" i="15" s="1"/>
  <c r="L148" i="15"/>
  <c r="Q83" i="15"/>
  <c r="O42" i="15"/>
  <c r="Q42" i="15" s="1"/>
  <c r="I39" i="15"/>
  <c r="K39" i="15" s="1"/>
  <c r="M577" i="15"/>
  <c r="I19" i="15"/>
  <c r="K19" i="15" s="1"/>
  <c r="I704" i="15"/>
  <c r="O704" i="15" s="1"/>
  <c r="Q536" i="15"/>
  <c r="Q512" i="15"/>
  <c r="O618" i="15"/>
  <c r="Q618" i="15" s="1"/>
  <c r="I615" i="15"/>
  <c r="K618" i="15"/>
  <c r="Q737" i="15"/>
  <c r="Q10" i="14"/>
  <c r="B74" i="14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O18" i="14"/>
  <c r="Q18" i="14" s="1"/>
  <c r="I15" i="14"/>
  <c r="O843" i="15"/>
  <c r="K843" i="15"/>
  <c r="P803" i="15"/>
  <c r="O792" i="15"/>
  <c r="Q792" i="15" s="1"/>
  <c r="O746" i="15"/>
  <c r="Q746" i="15" s="1"/>
  <c r="K746" i="15"/>
  <c r="O754" i="15"/>
  <c r="Q754" i="15" s="1"/>
  <c r="K754" i="15"/>
  <c r="P726" i="15"/>
  <c r="Q724" i="15"/>
  <c r="K656" i="15"/>
  <c r="I653" i="15"/>
  <c r="K653" i="15" s="1"/>
  <c r="I675" i="15"/>
  <c r="K675" i="15" s="1"/>
  <c r="O678" i="15"/>
  <c r="Q678" i="15" s="1"/>
  <c r="K521" i="15"/>
  <c r="I518" i="15"/>
  <c r="K518" i="15" s="1"/>
  <c r="O596" i="15"/>
  <c r="Q596" i="15" s="1"/>
  <c r="I593" i="15"/>
  <c r="O593" i="15" s="1"/>
  <c r="P533" i="15"/>
  <c r="K439" i="15"/>
  <c r="Q350" i="15"/>
  <c r="O204" i="15"/>
  <c r="L194" i="15"/>
  <c r="O194" i="15" s="1"/>
  <c r="P123" i="15"/>
  <c r="K393" i="15"/>
  <c r="O134" i="15"/>
  <c r="Q134" i="15" s="1"/>
  <c r="L123" i="15"/>
  <c r="O156" i="15"/>
  <c r="Q156" i="15" s="1"/>
  <c r="I153" i="15"/>
  <c r="K153" i="15" s="1"/>
  <c r="N19" i="15"/>
  <c r="J220" i="15"/>
  <c r="O359" i="15"/>
  <c r="Q359" i="15" s="1"/>
  <c r="M110" i="15"/>
  <c r="P120" i="15"/>
  <c r="I410" i="15"/>
  <c r="O413" i="15"/>
  <c r="Q413" i="15" s="1"/>
  <c r="K413" i="15"/>
  <c r="P798" i="15"/>
  <c r="M780" i="15"/>
  <c r="K715" i="15"/>
  <c r="K671" i="15"/>
  <c r="I668" i="15"/>
  <c r="K668" i="15" s="1"/>
  <c r="I631" i="15"/>
  <c r="O631" i="15" s="1"/>
  <c r="O634" i="15"/>
  <c r="Q634" i="15" s="1"/>
  <c r="P638" i="15"/>
  <c r="K552" i="15"/>
  <c r="K549" i="15"/>
  <c r="O552" i="15"/>
  <c r="Q552" i="15" s="1"/>
  <c r="O67" i="15"/>
  <c r="Q67" i="15" s="1"/>
  <c r="L64" i="15"/>
  <c r="N64" i="15" s="1"/>
  <c r="O253" i="15"/>
  <c r="Q253" i="15" s="1"/>
  <c r="K35" i="15"/>
  <c r="I34" i="15"/>
  <c r="O35" i="15"/>
  <c r="Q35" i="15" s="1"/>
  <c r="L107" i="15"/>
  <c r="O108" i="15"/>
  <c r="Q108" i="15" s="1"/>
  <c r="N108" i="15"/>
  <c r="I263" i="15"/>
  <c r="K263" i="15" s="1"/>
  <c r="N67" i="15"/>
  <c r="K806" i="15"/>
  <c r="I638" i="15"/>
  <c r="O638" i="15" s="1"/>
  <c r="O641" i="15"/>
  <c r="Q641" i="15" s="1"/>
  <c r="K581" i="15"/>
  <c r="P631" i="15"/>
  <c r="L466" i="15"/>
  <c r="K649" i="15"/>
  <c r="I646" i="15"/>
  <c r="K646" i="15" s="1"/>
  <c r="P444" i="15"/>
  <c r="M436" i="15"/>
  <c r="M347" i="15"/>
  <c r="P371" i="15"/>
  <c r="Q439" i="15"/>
  <c r="P241" i="15"/>
  <c r="K493" i="15"/>
  <c r="J466" i="15"/>
  <c r="O449" i="15"/>
  <c r="Q449" i="15" s="1"/>
  <c r="I347" i="15"/>
  <c r="K347" i="15" s="1"/>
  <c r="P217" i="15"/>
  <c r="M207" i="15"/>
  <c r="P163" i="15"/>
  <c r="Q163" i="15" s="1"/>
  <c r="M153" i="15"/>
  <c r="M226" i="15"/>
  <c r="N226" i="15" s="1"/>
  <c r="P236" i="15"/>
  <c r="O113" i="15"/>
  <c r="Q113" i="15" s="1"/>
  <c r="K113" i="15"/>
  <c r="M194" i="15"/>
  <c r="P204" i="15"/>
  <c r="O275" i="15"/>
  <c r="Q275" i="15" s="1"/>
  <c r="K169" i="15"/>
  <c r="O169" i="15"/>
  <c r="Q169" i="15" s="1"/>
  <c r="I166" i="15"/>
  <c r="K156" i="15"/>
  <c r="I241" i="15"/>
  <c r="O241" i="15" s="1"/>
  <c r="O92" i="15"/>
  <c r="Q92" i="15" s="1"/>
  <c r="I89" i="15"/>
  <c r="J818" i="15"/>
  <c r="P819" i="15"/>
  <c r="Q819" i="15" s="1"/>
  <c r="K819" i="15"/>
  <c r="K792" i="15"/>
  <c r="Q715" i="15"/>
  <c r="O696" i="15"/>
  <c r="Q696" i="15" s="1"/>
  <c r="K696" i="15"/>
  <c r="L577" i="15"/>
  <c r="P593" i="15"/>
  <c r="P578" i="15"/>
  <c r="O649" i="15"/>
  <c r="Q649" i="15" s="1"/>
  <c r="K556" i="15"/>
  <c r="K504" i="15"/>
  <c r="I501" i="15"/>
  <c r="K501" i="15" s="1"/>
  <c r="O504" i="15"/>
  <c r="Q504" i="15" s="1"/>
  <c r="M466" i="15"/>
  <c r="N466" i="15" s="1"/>
  <c r="P493" i="15"/>
  <c r="Q493" i="15" s="1"/>
  <c r="K536" i="15"/>
  <c r="P526" i="15"/>
  <c r="K526" i="15"/>
  <c r="I578" i="15"/>
  <c r="O578" i="15" s="1"/>
  <c r="L444" i="15"/>
  <c r="N444" i="15" s="1"/>
  <c r="O445" i="15"/>
  <c r="Q445" i="15" s="1"/>
  <c r="I436" i="15"/>
  <c r="K436" i="15" s="1"/>
  <c r="K350" i="15"/>
  <c r="K141" i="15"/>
  <c r="O141" i="15"/>
  <c r="Q141" i="15" s="1"/>
  <c r="I138" i="15"/>
  <c r="O317" i="15"/>
  <c r="Q317" i="15" s="1"/>
  <c r="I314" i="15"/>
  <c r="K314" i="15" s="1"/>
  <c r="L217" i="15"/>
  <c r="N217" i="15" s="1"/>
  <c r="O218" i="15"/>
  <c r="Q218" i="15" s="1"/>
  <c r="O188" i="15"/>
  <c r="Q188" i="15" s="1"/>
  <c r="I185" i="15"/>
  <c r="K188" i="15"/>
  <c r="K56" i="15"/>
  <c r="O56" i="15"/>
  <c r="Q56" i="15" s="1"/>
  <c r="I51" i="15"/>
  <c r="K51" i="15" s="1"/>
  <c r="K126" i="15"/>
  <c r="O126" i="15"/>
  <c r="Q126" i="15" s="1"/>
  <c r="O73" i="15"/>
  <c r="Q73" i="15" s="1"/>
  <c r="I70" i="15"/>
  <c r="P64" i="15"/>
  <c r="M51" i="15"/>
  <c r="I123" i="15"/>
  <c r="K123" i="15" s="1"/>
  <c r="P14" i="14"/>
  <c r="Q11" i="14"/>
  <c r="K18" i="14"/>
  <c r="P44" i="14"/>
  <c r="K15" i="14"/>
  <c r="P35" i="14"/>
  <c r="O38" i="14"/>
  <c r="Q38" i="14" s="1"/>
  <c r="K38" i="14"/>
  <c r="I35" i="14"/>
  <c r="I14" i="14" s="1"/>
  <c r="L48" i="14"/>
  <c r="O85" i="14"/>
  <c r="Q85" i="14" s="1"/>
  <c r="O51" i="14"/>
  <c r="Q51" i="14" s="1"/>
  <c r="N51" i="14"/>
  <c r="N32" i="14"/>
  <c r="N147" i="14"/>
  <c r="M146" i="14"/>
  <c r="P147" i="14"/>
  <c r="Q147" i="14" s="1"/>
  <c r="N85" i="14"/>
  <c r="N44" i="14"/>
  <c r="L35" i="14"/>
  <c r="O44" i="14"/>
  <c r="M13" i="13"/>
  <c r="L13" i="13"/>
  <c r="J13" i="13"/>
  <c r="B12" i="13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P83" i="13"/>
  <c r="Q83" i="13" s="1"/>
  <c r="O83" i="13"/>
  <c r="N83" i="13"/>
  <c r="M82" i="13"/>
  <c r="P82" i="13" s="1"/>
  <c r="L82" i="13"/>
  <c r="O82" i="13" s="1"/>
  <c r="J81" i="13"/>
  <c r="I81" i="13"/>
  <c r="P80" i="13"/>
  <c r="O80" i="13"/>
  <c r="N80" i="13"/>
  <c r="M79" i="13"/>
  <c r="P79" i="13" s="1"/>
  <c r="L79" i="13"/>
  <c r="O79" i="13" s="1"/>
  <c r="P78" i="13"/>
  <c r="Q78" i="13" s="1"/>
  <c r="O78" i="13"/>
  <c r="M77" i="13"/>
  <c r="P77" i="13" s="1"/>
  <c r="L77" i="13"/>
  <c r="O77" i="13" s="1"/>
  <c r="J76" i="13"/>
  <c r="I76" i="13"/>
  <c r="P75" i="13"/>
  <c r="O75" i="13"/>
  <c r="K75" i="13"/>
  <c r="P74" i="13"/>
  <c r="O74" i="13"/>
  <c r="K74" i="13"/>
  <c r="P73" i="13"/>
  <c r="O73" i="13"/>
  <c r="K73" i="13"/>
  <c r="J72" i="13"/>
  <c r="P72" i="13" s="1"/>
  <c r="I72" i="13"/>
  <c r="O72" i="13" s="1"/>
  <c r="P71" i="13"/>
  <c r="I71" i="13"/>
  <c r="P70" i="13"/>
  <c r="I70" i="13"/>
  <c r="K70" i="13" s="1"/>
  <c r="P69" i="13"/>
  <c r="O69" i="13"/>
  <c r="K69" i="13"/>
  <c r="P68" i="13"/>
  <c r="O68" i="13"/>
  <c r="K68" i="13"/>
  <c r="P67" i="13"/>
  <c r="O67" i="13"/>
  <c r="K67" i="13"/>
  <c r="M66" i="13"/>
  <c r="L66" i="13"/>
  <c r="J66" i="13"/>
  <c r="P64" i="13"/>
  <c r="O64" i="13"/>
  <c r="K64" i="13"/>
  <c r="O63" i="13"/>
  <c r="J63" i="13"/>
  <c r="P63" i="13" s="1"/>
  <c r="I63" i="13"/>
  <c r="I62" i="13" s="1"/>
  <c r="M62" i="13"/>
  <c r="L62" i="13"/>
  <c r="P61" i="13"/>
  <c r="O61" i="13"/>
  <c r="N61" i="13"/>
  <c r="M60" i="13"/>
  <c r="P60" i="13" s="1"/>
  <c r="Q60" i="13" s="1"/>
  <c r="L60" i="13"/>
  <c r="O60" i="13" s="1"/>
  <c r="P59" i="13"/>
  <c r="L59" i="13"/>
  <c r="O59" i="13" s="1"/>
  <c r="M58" i="13"/>
  <c r="P58" i="13" s="1"/>
  <c r="J57" i="13"/>
  <c r="I57" i="13"/>
  <c r="P56" i="13"/>
  <c r="I56" i="13"/>
  <c r="M55" i="13"/>
  <c r="L55" i="13"/>
  <c r="J55" i="13"/>
  <c r="J54" i="13" s="1"/>
  <c r="P53" i="13"/>
  <c r="O53" i="13"/>
  <c r="N53" i="13"/>
  <c r="M52" i="13"/>
  <c r="P52" i="13" s="1"/>
  <c r="L52" i="13"/>
  <c r="L51" i="13" s="1"/>
  <c r="J51" i="13"/>
  <c r="I51" i="13"/>
  <c r="P50" i="13"/>
  <c r="O50" i="13"/>
  <c r="K50" i="13"/>
  <c r="P49" i="13"/>
  <c r="I49" i="13"/>
  <c r="P48" i="13"/>
  <c r="O48" i="13"/>
  <c r="K48" i="13"/>
  <c r="P47" i="13"/>
  <c r="O47" i="13"/>
  <c r="K47" i="13"/>
  <c r="P46" i="13"/>
  <c r="I46" i="13"/>
  <c r="M45" i="13"/>
  <c r="L45" i="13"/>
  <c r="J45" i="13"/>
  <c r="P44" i="13"/>
  <c r="O44" i="13"/>
  <c r="K44" i="13"/>
  <c r="P43" i="13"/>
  <c r="O43" i="13"/>
  <c r="K43" i="13"/>
  <c r="P41" i="13"/>
  <c r="L41" i="13"/>
  <c r="N41" i="13" s="1"/>
  <c r="P40" i="13"/>
  <c r="L40" i="13"/>
  <c r="O40" i="13" s="1"/>
  <c r="P39" i="13"/>
  <c r="L39" i="13"/>
  <c r="O39" i="13" s="1"/>
  <c r="P38" i="13"/>
  <c r="L38" i="13"/>
  <c r="O38" i="13" s="1"/>
  <c r="P37" i="13"/>
  <c r="L37" i="13"/>
  <c r="N37" i="13" s="1"/>
  <c r="P36" i="13"/>
  <c r="L36" i="13"/>
  <c r="O36" i="13" s="1"/>
  <c r="M35" i="13"/>
  <c r="P35" i="13" s="1"/>
  <c r="P34" i="13"/>
  <c r="O34" i="13"/>
  <c r="N34" i="13"/>
  <c r="M33" i="13"/>
  <c r="P33" i="13" s="1"/>
  <c r="L33" i="13"/>
  <c r="O33" i="13" s="1"/>
  <c r="J32" i="13"/>
  <c r="I32" i="13"/>
  <c r="P31" i="13"/>
  <c r="O31" i="13"/>
  <c r="K31" i="13"/>
  <c r="J30" i="13"/>
  <c r="P30" i="13" s="1"/>
  <c r="I30" i="13"/>
  <c r="P28" i="13"/>
  <c r="L28" i="13"/>
  <c r="N28" i="13" s="1"/>
  <c r="P27" i="13"/>
  <c r="L27" i="13"/>
  <c r="O27" i="13" s="1"/>
  <c r="M26" i="13"/>
  <c r="P25" i="13"/>
  <c r="Q25" i="13" s="1"/>
  <c r="O25" i="13"/>
  <c r="N25" i="13"/>
  <c r="M24" i="13"/>
  <c r="P24" i="13" s="1"/>
  <c r="L24" i="13"/>
  <c r="O24" i="13" s="1"/>
  <c r="J23" i="13"/>
  <c r="I23" i="13"/>
  <c r="P22" i="13"/>
  <c r="O22" i="13"/>
  <c r="K22" i="13"/>
  <c r="M21" i="13"/>
  <c r="L21" i="13"/>
  <c r="J21" i="13"/>
  <c r="I21" i="13"/>
  <c r="P20" i="13"/>
  <c r="I20" i="13"/>
  <c r="O20" i="13" s="1"/>
  <c r="P19" i="13"/>
  <c r="I19" i="13"/>
  <c r="K19" i="13" s="1"/>
  <c r="P18" i="13"/>
  <c r="I18" i="13"/>
  <c r="O18" i="13" s="1"/>
  <c r="P17" i="13"/>
  <c r="I17" i="13"/>
  <c r="K17" i="13" s="1"/>
  <c r="P16" i="13"/>
  <c r="I16" i="13"/>
  <c r="O16" i="13" s="1"/>
  <c r="Q16" i="13" s="1"/>
  <c r="P15" i="13"/>
  <c r="O15" i="13"/>
  <c r="K15" i="13"/>
  <c r="P14" i="13"/>
  <c r="I14" i="13"/>
  <c r="P12" i="13"/>
  <c r="I12" i="13"/>
  <c r="K12" i="13" s="1"/>
  <c r="P11" i="13"/>
  <c r="I11" i="13"/>
  <c r="O11" i="13" s="1"/>
  <c r="B10" i="13"/>
  <c r="B11" i="13" s="1"/>
  <c r="J63" i="12"/>
  <c r="P63" i="12" s="1"/>
  <c r="M70" i="12"/>
  <c r="N70" i="12" s="1"/>
  <c r="M71" i="12"/>
  <c r="P71" i="12" s="1"/>
  <c r="J62" i="12"/>
  <c r="I60" i="12"/>
  <c r="J34" i="12"/>
  <c r="P34" i="12" s="1"/>
  <c r="J25" i="12"/>
  <c r="J24" i="12" s="1"/>
  <c r="P83" i="12"/>
  <c r="O83" i="12"/>
  <c r="P82" i="12"/>
  <c r="O82" i="12"/>
  <c r="K82" i="12"/>
  <c r="P81" i="12"/>
  <c r="O81" i="12"/>
  <c r="K81" i="12"/>
  <c r="P80" i="12"/>
  <c r="O80" i="12"/>
  <c r="K80" i="12"/>
  <c r="P79" i="12"/>
  <c r="O79" i="12"/>
  <c r="K79" i="12"/>
  <c r="M78" i="12"/>
  <c r="M75" i="12" s="1"/>
  <c r="M74" i="12" s="1"/>
  <c r="L78" i="12"/>
  <c r="J78" i="12"/>
  <c r="I78" i="12"/>
  <c r="I75" i="12" s="1"/>
  <c r="I74" i="12" s="1"/>
  <c r="P77" i="12"/>
  <c r="Q77" i="12" s="1"/>
  <c r="O77" i="12"/>
  <c r="K77" i="12"/>
  <c r="P76" i="12"/>
  <c r="O76" i="12"/>
  <c r="K76" i="12"/>
  <c r="J75" i="12"/>
  <c r="J74" i="12" s="1"/>
  <c r="P73" i="12"/>
  <c r="L73" i="12"/>
  <c r="O73" i="12" s="1"/>
  <c r="P72" i="12"/>
  <c r="L72" i="12"/>
  <c r="N72" i="12" s="1"/>
  <c r="L71" i="12"/>
  <c r="O71" i="12" s="1"/>
  <c r="P70" i="12"/>
  <c r="O70" i="12"/>
  <c r="P68" i="12"/>
  <c r="L68" i="12"/>
  <c r="N68" i="12" s="1"/>
  <c r="M67" i="12"/>
  <c r="P67" i="12" s="1"/>
  <c r="J66" i="12"/>
  <c r="I66" i="12"/>
  <c r="P65" i="12"/>
  <c r="O65" i="12"/>
  <c r="K65" i="12"/>
  <c r="P64" i="12"/>
  <c r="O64" i="12"/>
  <c r="K64" i="12"/>
  <c r="I63" i="12"/>
  <c r="O63" i="12" s="1"/>
  <c r="P62" i="12"/>
  <c r="O62" i="12"/>
  <c r="K62" i="12"/>
  <c r="P61" i="12"/>
  <c r="O61" i="12"/>
  <c r="K61" i="12"/>
  <c r="M60" i="12"/>
  <c r="L60" i="12"/>
  <c r="I59" i="12"/>
  <c r="P58" i="12"/>
  <c r="O58" i="12"/>
  <c r="K58" i="12"/>
  <c r="M57" i="12"/>
  <c r="L57" i="12"/>
  <c r="J57" i="12"/>
  <c r="I57" i="12"/>
  <c r="O57" i="12" s="1"/>
  <c r="P56" i="12"/>
  <c r="Q56" i="12" s="1"/>
  <c r="O56" i="12"/>
  <c r="K56" i="12"/>
  <c r="P55" i="12"/>
  <c r="O55" i="12"/>
  <c r="K55" i="12"/>
  <c r="P54" i="12"/>
  <c r="I54" i="12"/>
  <c r="O54" i="12" s="1"/>
  <c r="P53" i="12"/>
  <c r="I53" i="12"/>
  <c r="K53" i="12" s="1"/>
  <c r="P52" i="12"/>
  <c r="O52" i="12"/>
  <c r="K52" i="12"/>
  <c r="M51" i="12"/>
  <c r="L51" i="12"/>
  <c r="J51" i="12"/>
  <c r="P51" i="12" s="1"/>
  <c r="P50" i="12"/>
  <c r="Q50" i="12" s="1"/>
  <c r="O50" i="12"/>
  <c r="K50" i="12"/>
  <c r="P49" i="12"/>
  <c r="O49" i="12"/>
  <c r="K49" i="12"/>
  <c r="L48" i="12"/>
  <c r="L47" i="12" s="1"/>
  <c r="P46" i="12"/>
  <c r="O46" i="12"/>
  <c r="K46" i="12"/>
  <c r="P45" i="12"/>
  <c r="O45" i="12"/>
  <c r="K45" i="12"/>
  <c r="P44" i="12"/>
  <c r="O44" i="12"/>
  <c r="K44" i="12"/>
  <c r="P43" i="12"/>
  <c r="O43" i="12"/>
  <c r="K43" i="12"/>
  <c r="P42" i="12"/>
  <c r="O42" i="12"/>
  <c r="K42" i="12"/>
  <c r="M41" i="12"/>
  <c r="L41" i="12"/>
  <c r="L37" i="12" s="1"/>
  <c r="L38" i="12" s="1"/>
  <c r="J41" i="12"/>
  <c r="P41" i="12" s="1"/>
  <c r="I41" i="12"/>
  <c r="P40" i="12"/>
  <c r="O40" i="12"/>
  <c r="K40" i="12"/>
  <c r="P39" i="12"/>
  <c r="O39" i="12"/>
  <c r="K39" i="12"/>
  <c r="M37" i="12"/>
  <c r="M38" i="12" s="1"/>
  <c r="P36" i="12"/>
  <c r="O36" i="12"/>
  <c r="K36" i="12"/>
  <c r="P35" i="12"/>
  <c r="O35" i="12"/>
  <c r="K35" i="12"/>
  <c r="I34" i="12"/>
  <c r="O34" i="12" s="1"/>
  <c r="P33" i="12"/>
  <c r="I33" i="12"/>
  <c r="O33" i="12" s="1"/>
  <c r="P32" i="12"/>
  <c r="I32" i="12"/>
  <c r="O32" i="12" s="1"/>
  <c r="P31" i="12"/>
  <c r="O31" i="12"/>
  <c r="K31" i="12"/>
  <c r="M30" i="12"/>
  <c r="M27" i="12" s="1"/>
  <c r="L30" i="12"/>
  <c r="L27" i="12" s="1"/>
  <c r="J30" i="12"/>
  <c r="P29" i="12"/>
  <c r="I29" i="12"/>
  <c r="O29" i="12" s="1"/>
  <c r="P28" i="12"/>
  <c r="I28" i="12"/>
  <c r="O28" i="12" s="1"/>
  <c r="P26" i="12"/>
  <c r="O26" i="12"/>
  <c r="K26" i="12"/>
  <c r="P25" i="12"/>
  <c r="O25" i="12"/>
  <c r="K25" i="12"/>
  <c r="I24" i="12"/>
  <c r="P23" i="12"/>
  <c r="O23" i="12"/>
  <c r="K23" i="12"/>
  <c r="P22" i="12"/>
  <c r="I22" i="12"/>
  <c r="O22" i="12" s="1"/>
  <c r="P21" i="12"/>
  <c r="I21" i="12"/>
  <c r="K21" i="12" s="1"/>
  <c r="P20" i="12"/>
  <c r="O20" i="12"/>
  <c r="K20" i="12"/>
  <c r="M19" i="12"/>
  <c r="M16" i="12" s="1"/>
  <c r="L19" i="12"/>
  <c r="L16" i="12" s="1"/>
  <c r="P18" i="12"/>
  <c r="I18" i="12"/>
  <c r="K18" i="12" s="1"/>
  <c r="P17" i="12"/>
  <c r="I17" i="12"/>
  <c r="O17" i="12" s="1"/>
  <c r="P15" i="12"/>
  <c r="O15" i="12"/>
  <c r="K15" i="12"/>
  <c r="P14" i="12"/>
  <c r="O14" i="12"/>
  <c r="K14" i="12"/>
  <c r="M13" i="12"/>
  <c r="M11" i="12" s="1"/>
  <c r="L13" i="12"/>
  <c r="J13" i="12"/>
  <c r="I13" i="12"/>
  <c r="O13" i="12" s="1"/>
  <c r="P12" i="12"/>
  <c r="Q12" i="12" s="1"/>
  <c r="O12" i="12"/>
  <c r="K12" i="12"/>
  <c r="L11" i="12"/>
  <c r="B11" i="12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P9" i="17" l="1"/>
  <c r="Q9" i="17" s="1"/>
  <c r="N9" i="17"/>
  <c r="P31" i="16"/>
  <c r="P153" i="15"/>
  <c r="N153" i="15"/>
  <c r="P436" i="15"/>
  <c r="N436" i="15"/>
  <c r="P166" i="15"/>
  <c r="N166" i="15"/>
  <c r="M138" i="15"/>
  <c r="N148" i="15"/>
  <c r="B172" i="15"/>
  <c r="B173" i="15" s="1"/>
  <c r="B174" i="15" s="1"/>
  <c r="B175" i="15" s="1"/>
  <c r="B176" i="15" s="1"/>
  <c r="B177" i="15" s="1"/>
  <c r="B178" i="15" s="1"/>
  <c r="B179" i="15" s="1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B196" i="15" s="1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B213" i="15" s="1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B230" i="15" s="1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B247" i="15" s="1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B264" i="15" s="1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B281" i="15" s="1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B298" i="15" s="1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B315" i="15" s="1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B332" i="15" s="1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B349" i="15" s="1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B366" i="15" s="1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B383" i="15" s="1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B400" i="15" s="1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B417" i="15" s="1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B434" i="15" s="1"/>
  <c r="B435" i="15" s="1"/>
  <c r="N577" i="15"/>
  <c r="N371" i="15"/>
  <c r="P194" i="15"/>
  <c r="N194" i="15"/>
  <c r="P347" i="15"/>
  <c r="N347" i="15"/>
  <c r="P207" i="15"/>
  <c r="P780" i="15"/>
  <c r="N780" i="15"/>
  <c r="M314" i="15"/>
  <c r="N341" i="15"/>
  <c r="Q80" i="13"/>
  <c r="Q82" i="13"/>
  <c r="Q18" i="13"/>
  <c r="O41" i="13"/>
  <c r="Q43" i="13"/>
  <c r="I13" i="13"/>
  <c r="K13" i="13" s="1"/>
  <c r="K21" i="13"/>
  <c r="J19" i="12"/>
  <c r="P19" i="12" s="1"/>
  <c r="P24" i="12"/>
  <c r="Q23" i="12"/>
  <c r="K24" i="12"/>
  <c r="Q64" i="12"/>
  <c r="O828" i="15"/>
  <c r="Q828" i="15" s="1"/>
  <c r="I818" i="15"/>
  <c r="O818" i="15" s="1"/>
  <c r="O660" i="15"/>
  <c r="Q660" i="15" s="1"/>
  <c r="O341" i="15"/>
  <c r="P148" i="15"/>
  <c r="K226" i="15"/>
  <c r="K509" i="15"/>
  <c r="P341" i="15"/>
  <c r="Q341" i="15" s="1"/>
  <c r="O668" i="15"/>
  <c r="Q668" i="15" s="1"/>
  <c r="O759" i="15"/>
  <c r="Q759" i="15" s="1"/>
  <c r="K225" i="15"/>
  <c r="O743" i="15"/>
  <c r="Q743" i="15" s="1"/>
  <c r="O226" i="15"/>
  <c r="Q704" i="15"/>
  <c r="O585" i="15"/>
  <c r="Q585" i="15" s="1"/>
  <c r="N120" i="15"/>
  <c r="K578" i="15"/>
  <c r="O120" i="15"/>
  <c r="Q120" i="15" s="1"/>
  <c r="Q371" i="15"/>
  <c r="Q721" i="15"/>
  <c r="J37" i="12"/>
  <c r="J38" i="12" s="1"/>
  <c r="P38" i="12" s="1"/>
  <c r="K41" i="12"/>
  <c r="Q71" i="16"/>
  <c r="L102" i="16"/>
  <c r="N102" i="16" s="1"/>
  <c r="L31" i="16"/>
  <c r="N31" i="16" s="1"/>
  <c r="O49" i="16"/>
  <c r="Q49" i="16" s="1"/>
  <c r="M10" i="16"/>
  <c r="I31" i="16"/>
  <c r="O92" i="16"/>
  <c r="Q92" i="16" s="1"/>
  <c r="K92" i="16"/>
  <c r="K623" i="15"/>
  <c r="L347" i="15"/>
  <c r="O347" i="15" s="1"/>
  <c r="Q526" i="15"/>
  <c r="O608" i="15"/>
  <c r="Q608" i="15" s="1"/>
  <c r="K686" i="15"/>
  <c r="Q533" i="15"/>
  <c r="Q686" i="15"/>
  <c r="Q194" i="15"/>
  <c r="Q726" i="15"/>
  <c r="K726" i="15"/>
  <c r="P577" i="15"/>
  <c r="O19" i="15"/>
  <c r="Q19" i="15" s="1"/>
  <c r="K803" i="15"/>
  <c r="K178" i="15"/>
  <c r="K381" i="15"/>
  <c r="P466" i="15"/>
  <c r="O80" i="15"/>
  <c r="Q80" i="15" s="1"/>
  <c r="K80" i="15"/>
  <c r="Q593" i="15"/>
  <c r="O153" i="15"/>
  <c r="Q153" i="15" s="1"/>
  <c r="K533" i="15"/>
  <c r="Q578" i="15"/>
  <c r="K593" i="15"/>
  <c r="Q204" i="15"/>
  <c r="Q236" i="15"/>
  <c r="O39" i="15"/>
  <c r="O263" i="15"/>
  <c r="Q263" i="15" s="1"/>
  <c r="P39" i="15"/>
  <c r="N39" i="15"/>
  <c r="M569" i="15"/>
  <c r="O475" i="15"/>
  <c r="Q475" i="15" s="1"/>
  <c r="K704" i="15"/>
  <c r="Q175" i="15"/>
  <c r="O798" i="15"/>
  <c r="Q798" i="15" s="1"/>
  <c r="L780" i="15"/>
  <c r="O780" i="15" s="1"/>
  <c r="Q780" i="15" s="1"/>
  <c r="K293" i="15"/>
  <c r="K638" i="15"/>
  <c r="O615" i="15"/>
  <c r="Q615" i="15" s="1"/>
  <c r="K615" i="15"/>
  <c r="O148" i="15"/>
  <c r="L138" i="15"/>
  <c r="O138" i="15" s="1"/>
  <c r="K70" i="15"/>
  <c r="O70" i="15"/>
  <c r="Q70" i="15" s="1"/>
  <c r="O185" i="15"/>
  <c r="Q185" i="15" s="1"/>
  <c r="K185" i="15"/>
  <c r="O444" i="15"/>
  <c r="L436" i="15"/>
  <c r="K241" i="15"/>
  <c r="I33" i="15"/>
  <c r="I10" i="15" s="1"/>
  <c r="Q638" i="15"/>
  <c r="O549" i="15"/>
  <c r="Q549" i="15" s="1"/>
  <c r="O646" i="15"/>
  <c r="Q646" i="15" s="1"/>
  <c r="Q803" i="15"/>
  <c r="P51" i="15"/>
  <c r="Q241" i="15"/>
  <c r="Q631" i="15"/>
  <c r="O107" i="15"/>
  <c r="Q107" i="15" s="1"/>
  <c r="L98" i="15"/>
  <c r="N107" i="15"/>
  <c r="J569" i="15"/>
  <c r="O410" i="15"/>
  <c r="Q410" i="15" s="1"/>
  <c r="K410" i="15"/>
  <c r="P110" i="15"/>
  <c r="Q110" i="15" s="1"/>
  <c r="N110" i="15"/>
  <c r="O314" i="15"/>
  <c r="O518" i="15"/>
  <c r="Q518" i="15" s="1"/>
  <c r="O675" i="15"/>
  <c r="Q675" i="15" s="1"/>
  <c r="I577" i="15"/>
  <c r="I569" i="15" s="1"/>
  <c r="K138" i="15"/>
  <c r="K166" i="15"/>
  <c r="O166" i="15"/>
  <c r="Q166" i="15" s="1"/>
  <c r="Q444" i="15"/>
  <c r="J10" i="15"/>
  <c r="O34" i="15"/>
  <c r="Q34" i="15" s="1"/>
  <c r="K34" i="15"/>
  <c r="K631" i="15"/>
  <c r="O653" i="15"/>
  <c r="Q653" i="15" s="1"/>
  <c r="O840" i="15"/>
  <c r="Q840" i="15" s="1"/>
  <c r="Q843" i="15"/>
  <c r="O217" i="15"/>
  <c r="Q217" i="15" s="1"/>
  <c r="L207" i="15"/>
  <c r="O207" i="15" s="1"/>
  <c r="Q207" i="15" s="1"/>
  <c r="O89" i="15"/>
  <c r="Q89" i="15" s="1"/>
  <c r="K89" i="15"/>
  <c r="I220" i="15"/>
  <c r="K220" i="15" s="1"/>
  <c r="M225" i="15"/>
  <c r="N225" i="15" s="1"/>
  <c r="P226" i="15"/>
  <c r="O501" i="15"/>
  <c r="Q501" i="15" s="1"/>
  <c r="P818" i="15"/>
  <c r="I466" i="15"/>
  <c r="K466" i="15" s="1"/>
  <c r="O64" i="15"/>
  <c r="Q64" i="15" s="1"/>
  <c r="L51" i="15"/>
  <c r="N51" i="15" s="1"/>
  <c r="O123" i="15"/>
  <c r="Q123" i="15" s="1"/>
  <c r="N123" i="15"/>
  <c r="Q44" i="14"/>
  <c r="O15" i="14"/>
  <c r="Q15" i="14" s="1"/>
  <c r="L14" i="14"/>
  <c r="N14" i="14" s="1"/>
  <c r="N35" i="14"/>
  <c r="N146" i="14"/>
  <c r="P146" i="14"/>
  <c r="Q146" i="14" s="1"/>
  <c r="M47" i="14"/>
  <c r="O35" i="14"/>
  <c r="Q35" i="14" s="1"/>
  <c r="K35" i="14"/>
  <c r="L47" i="14"/>
  <c r="N48" i="14"/>
  <c r="O48" i="14"/>
  <c r="Q48" i="14" s="1"/>
  <c r="I9" i="14"/>
  <c r="K14" i="14"/>
  <c r="J65" i="13"/>
  <c r="Q67" i="13"/>
  <c r="B30" i="13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O17" i="13"/>
  <c r="M32" i="13"/>
  <c r="P32" i="13" s="1"/>
  <c r="O70" i="13"/>
  <c r="Q70" i="13" s="1"/>
  <c r="Q73" i="13"/>
  <c r="K16" i="13"/>
  <c r="P21" i="13"/>
  <c r="N27" i="13"/>
  <c r="L76" i="13"/>
  <c r="O76" i="13" s="1"/>
  <c r="J62" i="13"/>
  <c r="P62" i="13" s="1"/>
  <c r="Q20" i="13"/>
  <c r="Q22" i="13"/>
  <c r="Q24" i="13"/>
  <c r="L26" i="13"/>
  <c r="O26" i="13" s="1"/>
  <c r="O37" i="13"/>
  <c r="Q40" i="13"/>
  <c r="Q72" i="13"/>
  <c r="N77" i="13"/>
  <c r="N79" i="13"/>
  <c r="L81" i="13"/>
  <c r="K18" i="13"/>
  <c r="N36" i="13"/>
  <c r="Q37" i="13"/>
  <c r="N39" i="13"/>
  <c r="L42" i="13"/>
  <c r="Q53" i="13"/>
  <c r="Q68" i="13"/>
  <c r="Q75" i="13"/>
  <c r="M76" i="13"/>
  <c r="P76" i="13" s="1"/>
  <c r="Q76" i="13" s="1"/>
  <c r="M81" i="13"/>
  <c r="Q11" i="13"/>
  <c r="Q38" i="13"/>
  <c r="Q50" i="13"/>
  <c r="O62" i="13"/>
  <c r="Q64" i="13"/>
  <c r="K11" i="13"/>
  <c r="O12" i="13"/>
  <c r="Q12" i="13" s="1"/>
  <c r="O19" i="13"/>
  <c r="Q19" i="13" s="1"/>
  <c r="O21" i="13"/>
  <c r="Q21" i="13" s="1"/>
  <c r="Q27" i="13"/>
  <c r="Q31" i="13"/>
  <c r="N33" i="13"/>
  <c r="N52" i="13"/>
  <c r="M57" i="13"/>
  <c r="N59" i="13"/>
  <c r="Q69" i="13"/>
  <c r="Q34" i="13"/>
  <c r="Q36" i="13"/>
  <c r="Q39" i="13"/>
  <c r="O52" i="13"/>
  <c r="L58" i="13"/>
  <c r="N58" i="13" s="1"/>
  <c r="Q61" i="13"/>
  <c r="K72" i="13"/>
  <c r="Q79" i="13"/>
  <c r="O51" i="13"/>
  <c r="P55" i="13"/>
  <c r="Q59" i="13"/>
  <c r="K63" i="13"/>
  <c r="P66" i="13"/>
  <c r="O14" i="13"/>
  <c r="Q14" i="13" s="1"/>
  <c r="K14" i="13"/>
  <c r="P26" i="13"/>
  <c r="Q26" i="13" s="1"/>
  <c r="M23" i="13"/>
  <c r="Q48" i="13"/>
  <c r="Q52" i="13"/>
  <c r="I55" i="13"/>
  <c r="O56" i="13"/>
  <c r="Q56" i="13" s="1"/>
  <c r="N82" i="13"/>
  <c r="K20" i="13"/>
  <c r="N26" i="13"/>
  <c r="O30" i="13"/>
  <c r="Q30" i="13" s="1"/>
  <c r="Q33" i="13"/>
  <c r="N40" i="13"/>
  <c r="Q44" i="13"/>
  <c r="P45" i="13"/>
  <c r="Q47" i="13"/>
  <c r="K56" i="13"/>
  <c r="N60" i="13"/>
  <c r="Q77" i="13"/>
  <c r="P13" i="13"/>
  <c r="Q15" i="13"/>
  <c r="Q17" i="13"/>
  <c r="N24" i="13"/>
  <c r="O28" i="13"/>
  <c r="Q28" i="13" s="1"/>
  <c r="L23" i="13"/>
  <c r="O23" i="13" s="1"/>
  <c r="N38" i="13"/>
  <c r="Q41" i="13"/>
  <c r="O46" i="13"/>
  <c r="Q46" i="13" s="1"/>
  <c r="K46" i="13"/>
  <c r="Q63" i="13"/>
  <c r="Q74" i="13"/>
  <c r="P81" i="13"/>
  <c r="J10" i="13"/>
  <c r="K30" i="13"/>
  <c r="L35" i="13"/>
  <c r="J42" i="13"/>
  <c r="I45" i="13"/>
  <c r="K45" i="13" s="1"/>
  <c r="O49" i="13"/>
  <c r="Q49" i="13" s="1"/>
  <c r="K49" i="13"/>
  <c r="O71" i="13"/>
  <c r="Q71" i="13" s="1"/>
  <c r="I66" i="13"/>
  <c r="K71" i="13"/>
  <c r="M51" i="13"/>
  <c r="Q71" i="12"/>
  <c r="M69" i="12"/>
  <c r="P69" i="12" s="1"/>
  <c r="Q73" i="12"/>
  <c r="J60" i="12"/>
  <c r="J59" i="12" s="1"/>
  <c r="K59" i="12" s="1"/>
  <c r="Q61" i="12"/>
  <c r="B74" i="12"/>
  <c r="B75" i="12" s="1"/>
  <c r="B76" i="12" s="1"/>
  <c r="B77" i="12" s="1"/>
  <c r="B78" i="12" s="1"/>
  <c r="B79" i="12" s="1"/>
  <c r="B80" i="12" s="1"/>
  <c r="B81" i="12" s="1"/>
  <c r="B82" i="12" s="1"/>
  <c r="B83" i="12" s="1"/>
  <c r="Q36" i="12"/>
  <c r="Q31" i="12"/>
  <c r="Q76" i="12"/>
  <c r="Q15" i="12"/>
  <c r="O24" i="12"/>
  <c r="Q24" i="12" s="1"/>
  <c r="Q25" i="12"/>
  <c r="K29" i="12"/>
  <c r="Q14" i="12"/>
  <c r="O78" i="12"/>
  <c r="Q79" i="12"/>
  <c r="I11" i="12"/>
  <c r="O11" i="12" s="1"/>
  <c r="Q26" i="12"/>
  <c r="Q70" i="12"/>
  <c r="Q40" i="12"/>
  <c r="Q42" i="12"/>
  <c r="Q46" i="12"/>
  <c r="Q49" i="12"/>
  <c r="Q62" i="12"/>
  <c r="L67" i="12"/>
  <c r="O67" i="12" s="1"/>
  <c r="Q67" i="12" s="1"/>
  <c r="O68" i="12"/>
  <c r="Q68" i="12" s="1"/>
  <c r="O18" i="12"/>
  <c r="Q18" i="12" s="1"/>
  <c r="K32" i="12"/>
  <c r="K17" i="12"/>
  <c r="Q22" i="12"/>
  <c r="Q28" i="12"/>
  <c r="O41" i="12"/>
  <c r="Q45" i="12"/>
  <c r="Q52" i="12"/>
  <c r="P57" i="12"/>
  <c r="Q57" i="12" s="1"/>
  <c r="Q65" i="12"/>
  <c r="Q81" i="12"/>
  <c r="I19" i="12"/>
  <c r="O19" i="12" s="1"/>
  <c r="Q19" i="12" s="1"/>
  <c r="O21" i="12"/>
  <c r="Q21" i="12" s="1"/>
  <c r="Q44" i="12"/>
  <c r="M48" i="12"/>
  <c r="M47" i="12" s="1"/>
  <c r="K63" i="12"/>
  <c r="O72" i="12"/>
  <c r="Q72" i="12" s="1"/>
  <c r="P78" i="12"/>
  <c r="Q78" i="12" s="1"/>
  <c r="Q80" i="12"/>
  <c r="Q20" i="12"/>
  <c r="I30" i="12"/>
  <c r="O30" i="12" s="1"/>
  <c r="K33" i="12"/>
  <c r="Q39" i="12"/>
  <c r="Q43" i="12"/>
  <c r="O53" i="12"/>
  <c r="Q53" i="12" s="1"/>
  <c r="Q82" i="12"/>
  <c r="Q29" i="12"/>
  <c r="P13" i="12"/>
  <c r="Q13" i="12" s="1"/>
  <c r="P30" i="12"/>
  <c r="Q41" i="12"/>
  <c r="K57" i="12"/>
  <c r="Q63" i="12"/>
  <c r="M66" i="12"/>
  <c r="M59" i="12" s="1"/>
  <c r="L69" i="12"/>
  <c r="O69" i="12" s="1"/>
  <c r="L75" i="12"/>
  <c r="L74" i="12" s="1"/>
  <c r="O74" i="12" s="1"/>
  <c r="K22" i="12"/>
  <c r="K28" i="12"/>
  <c r="Q32" i="12"/>
  <c r="Q35" i="12"/>
  <c r="I37" i="12"/>
  <c r="I51" i="12"/>
  <c r="Q54" i="12"/>
  <c r="Q55" i="12"/>
  <c r="Q58" i="12"/>
  <c r="O60" i="12"/>
  <c r="K78" i="12"/>
  <c r="Q17" i="12"/>
  <c r="P74" i="12"/>
  <c r="K74" i="12"/>
  <c r="Q34" i="12"/>
  <c r="Q33" i="12"/>
  <c r="K34" i="12"/>
  <c r="O37" i="12"/>
  <c r="N71" i="12"/>
  <c r="N73" i="12"/>
  <c r="K75" i="12"/>
  <c r="P75" i="12"/>
  <c r="J11" i="12"/>
  <c r="J16" i="12"/>
  <c r="J27" i="12"/>
  <c r="P37" i="12"/>
  <c r="K54" i="12"/>
  <c r="K13" i="12"/>
  <c r="J48" i="12"/>
  <c r="K51" i="12"/>
  <c r="P66" i="11"/>
  <c r="M47" i="11"/>
  <c r="J34" i="11"/>
  <c r="P91" i="11"/>
  <c r="O91" i="11"/>
  <c r="K91" i="11"/>
  <c r="P90" i="11"/>
  <c r="O90" i="11"/>
  <c r="K90" i="11"/>
  <c r="M89" i="11"/>
  <c r="M88" i="11" s="1"/>
  <c r="L89" i="11"/>
  <c r="L88" i="11" s="1"/>
  <c r="J89" i="11"/>
  <c r="J88" i="11" s="1"/>
  <c r="I89" i="11"/>
  <c r="I88" i="11" s="1"/>
  <c r="P87" i="11"/>
  <c r="L87" i="11"/>
  <c r="O87" i="11" s="1"/>
  <c r="M86" i="11"/>
  <c r="P86" i="11" s="1"/>
  <c r="P85" i="11"/>
  <c r="L85" i="11"/>
  <c r="O85" i="11" s="1"/>
  <c r="M84" i="11"/>
  <c r="J83" i="11"/>
  <c r="I83" i="11"/>
  <c r="P82" i="11"/>
  <c r="I82" i="11"/>
  <c r="P81" i="11"/>
  <c r="I81" i="11"/>
  <c r="O81" i="11" s="1"/>
  <c r="P80" i="11"/>
  <c r="I80" i="11"/>
  <c r="J79" i="11"/>
  <c r="P79" i="11" s="1"/>
  <c r="P77" i="11"/>
  <c r="O77" i="11"/>
  <c r="K77" i="11"/>
  <c r="P76" i="11"/>
  <c r="O76" i="11"/>
  <c r="K76" i="11"/>
  <c r="M75" i="11"/>
  <c r="M74" i="11" s="1"/>
  <c r="L75" i="11"/>
  <c r="L74" i="11" s="1"/>
  <c r="J75" i="11"/>
  <c r="J74" i="11" s="1"/>
  <c r="I75" i="11"/>
  <c r="P73" i="11"/>
  <c r="O73" i="11"/>
  <c r="N73" i="11"/>
  <c r="M72" i="11"/>
  <c r="P72" i="11" s="1"/>
  <c r="L72" i="11"/>
  <c r="O72" i="11" s="1"/>
  <c r="J71" i="11"/>
  <c r="I71" i="11"/>
  <c r="P70" i="11"/>
  <c r="I70" i="11"/>
  <c r="P69" i="11"/>
  <c r="I69" i="11"/>
  <c r="K69" i="11" s="1"/>
  <c r="M68" i="11"/>
  <c r="L68" i="11"/>
  <c r="J68" i="11"/>
  <c r="P68" i="11" s="1"/>
  <c r="P67" i="11"/>
  <c r="O67" i="11"/>
  <c r="K67" i="11"/>
  <c r="O66" i="11"/>
  <c r="P65" i="11"/>
  <c r="O65" i="11"/>
  <c r="K65" i="11"/>
  <c r="P64" i="11"/>
  <c r="I64" i="11"/>
  <c r="P63" i="11"/>
  <c r="I63" i="11"/>
  <c r="O63" i="11" s="1"/>
  <c r="M62" i="11"/>
  <c r="L62" i="11"/>
  <c r="P61" i="11"/>
  <c r="O61" i="11"/>
  <c r="K61" i="11"/>
  <c r="P60" i="11"/>
  <c r="O60" i="11"/>
  <c r="K60" i="11"/>
  <c r="P58" i="11"/>
  <c r="O58" i="11"/>
  <c r="K58" i="11"/>
  <c r="P57" i="11"/>
  <c r="I57" i="11"/>
  <c r="O57" i="11" s="1"/>
  <c r="P56" i="11"/>
  <c r="Q56" i="11" s="1"/>
  <c r="O56" i="11"/>
  <c r="K56" i="11"/>
  <c r="P55" i="11"/>
  <c r="I55" i="11"/>
  <c r="O55" i="11" s="1"/>
  <c r="P54" i="11"/>
  <c r="O54" i="11"/>
  <c r="K54" i="11"/>
  <c r="P53" i="11"/>
  <c r="O53" i="11"/>
  <c r="K53" i="11"/>
  <c r="P52" i="11"/>
  <c r="O52" i="11"/>
  <c r="K52" i="11"/>
  <c r="M51" i="11"/>
  <c r="L51" i="11"/>
  <c r="J51" i="11"/>
  <c r="J48" i="11" s="1"/>
  <c r="P50" i="11"/>
  <c r="I50" i="11"/>
  <c r="O50" i="11" s="1"/>
  <c r="P49" i="11"/>
  <c r="I49" i="11"/>
  <c r="O49" i="11" s="1"/>
  <c r="P47" i="11"/>
  <c r="L47" i="11"/>
  <c r="O47" i="11" s="1"/>
  <c r="P46" i="11"/>
  <c r="O46" i="11"/>
  <c r="N46" i="11"/>
  <c r="M45" i="11"/>
  <c r="P44" i="11"/>
  <c r="O44" i="11"/>
  <c r="N44" i="11"/>
  <c r="P43" i="11"/>
  <c r="O43" i="11"/>
  <c r="N43" i="11"/>
  <c r="P42" i="11"/>
  <c r="O42" i="11"/>
  <c r="N42" i="11"/>
  <c r="P41" i="11"/>
  <c r="O41" i="11"/>
  <c r="N41" i="11"/>
  <c r="M40" i="11"/>
  <c r="P40" i="11" s="1"/>
  <c r="L40" i="11"/>
  <c r="O40" i="11" s="1"/>
  <c r="J39" i="11"/>
  <c r="I39" i="11"/>
  <c r="K38" i="11"/>
  <c r="P37" i="11"/>
  <c r="O37" i="11"/>
  <c r="K37" i="11"/>
  <c r="P36" i="11"/>
  <c r="I36" i="11"/>
  <c r="O36" i="11" s="1"/>
  <c r="P35" i="11"/>
  <c r="I35" i="11"/>
  <c r="M34" i="11"/>
  <c r="L34" i="11"/>
  <c r="P32" i="11"/>
  <c r="O32" i="11"/>
  <c r="K32" i="11"/>
  <c r="P31" i="11"/>
  <c r="O31" i="11"/>
  <c r="K31" i="11"/>
  <c r="M30" i="11"/>
  <c r="M29" i="11" s="1"/>
  <c r="L30" i="11"/>
  <c r="L29" i="11" s="1"/>
  <c r="J30" i="11"/>
  <c r="J29" i="11" s="1"/>
  <c r="I30" i="11"/>
  <c r="P28" i="11"/>
  <c r="L28" i="11"/>
  <c r="O28" i="11" s="1"/>
  <c r="M27" i="11"/>
  <c r="J27" i="11"/>
  <c r="P27" i="11" s="1"/>
  <c r="I27" i="11"/>
  <c r="P26" i="11"/>
  <c r="O26" i="11"/>
  <c r="K26" i="11"/>
  <c r="P25" i="11"/>
  <c r="O25" i="11"/>
  <c r="K25" i="11"/>
  <c r="M24" i="11"/>
  <c r="L24" i="11"/>
  <c r="J24" i="11"/>
  <c r="I24" i="11"/>
  <c r="P22" i="11"/>
  <c r="O22" i="11"/>
  <c r="N22" i="11"/>
  <c r="M21" i="11"/>
  <c r="J21" i="11"/>
  <c r="I21" i="11"/>
  <c r="P20" i="11"/>
  <c r="I20" i="11"/>
  <c r="K20" i="11" s="1"/>
  <c r="P19" i="11"/>
  <c r="O19" i="11"/>
  <c r="K19" i="11"/>
  <c r="M18" i="11"/>
  <c r="L18" i="11"/>
  <c r="J18" i="11"/>
  <c r="P16" i="11"/>
  <c r="O16" i="11"/>
  <c r="K16" i="11"/>
  <c r="M15" i="11"/>
  <c r="M14" i="11" s="1"/>
  <c r="L15" i="11"/>
  <c r="L14" i="11" s="1"/>
  <c r="J15" i="11"/>
  <c r="J14" i="11" s="1"/>
  <c r="I15" i="11"/>
  <c r="I14" i="11" s="1"/>
  <c r="P12" i="11"/>
  <c r="I12" i="11"/>
  <c r="K12" i="11" s="1"/>
  <c r="M11" i="11"/>
  <c r="L11" i="11"/>
  <c r="L10" i="11" s="1"/>
  <c r="J11" i="11"/>
  <c r="I11" i="11"/>
  <c r="I10" i="11" s="1"/>
  <c r="J10" i="1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P14" i="10"/>
  <c r="P20" i="10"/>
  <c r="I20" i="10"/>
  <c r="O20" i="10" s="1"/>
  <c r="J19" i="10"/>
  <c r="P19" i="10" s="1"/>
  <c r="P18" i="10"/>
  <c r="O18" i="10"/>
  <c r="K18" i="10"/>
  <c r="M17" i="10"/>
  <c r="M16" i="10" s="1"/>
  <c r="L17" i="10"/>
  <c r="L16" i="10" s="1"/>
  <c r="J17" i="10"/>
  <c r="K17" i="10" s="1"/>
  <c r="I17" i="10"/>
  <c r="P15" i="10"/>
  <c r="I15" i="10"/>
  <c r="O15" i="10" s="1"/>
  <c r="I14" i="10"/>
  <c r="P13" i="10"/>
  <c r="I13" i="10"/>
  <c r="O13" i="10" s="1"/>
  <c r="M12" i="10"/>
  <c r="M11" i="10" s="1"/>
  <c r="L12" i="10"/>
  <c r="J12" i="10"/>
  <c r="L11" i="10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52" i="9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J53" i="9"/>
  <c r="P10" i="16" l="1"/>
  <c r="P138" i="15"/>
  <c r="N138" i="15"/>
  <c r="M33" i="15"/>
  <c r="M10" i="15" s="1"/>
  <c r="Q347" i="15"/>
  <c r="N207" i="15"/>
  <c r="Q138" i="15"/>
  <c r="P314" i="15"/>
  <c r="Q314" i="15" s="1"/>
  <c r="N314" i="15"/>
  <c r="Q62" i="13"/>
  <c r="K37" i="12"/>
  <c r="Q85" i="11"/>
  <c r="I34" i="11"/>
  <c r="Q91" i="11"/>
  <c r="K818" i="15"/>
  <c r="Q818" i="15"/>
  <c r="Q148" i="15"/>
  <c r="B436" i="15"/>
  <c r="B437" i="15" s="1"/>
  <c r="B438" i="15" s="1"/>
  <c r="B439" i="15" s="1"/>
  <c r="B440" i="15" s="1"/>
  <c r="B441" i="15" s="1"/>
  <c r="B442" i="15" s="1"/>
  <c r="B443" i="15" s="1"/>
  <c r="Q226" i="15"/>
  <c r="L10" i="16"/>
  <c r="N10" i="16" s="1"/>
  <c r="O102" i="16"/>
  <c r="Q102" i="16" s="1"/>
  <c r="O31" i="16"/>
  <c r="Q31" i="16" s="1"/>
  <c r="K31" i="16"/>
  <c r="I10" i="16"/>
  <c r="L569" i="15"/>
  <c r="O569" i="15" s="1"/>
  <c r="K10" i="15"/>
  <c r="K33" i="15"/>
  <c r="Q39" i="15"/>
  <c r="O466" i="15"/>
  <c r="Q466" i="15" s="1"/>
  <c r="O98" i="15"/>
  <c r="Q98" i="15" s="1"/>
  <c r="N98" i="15"/>
  <c r="I9" i="15"/>
  <c r="K569" i="15"/>
  <c r="P569" i="15"/>
  <c r="M220" i="15"/>
  <c r="N220" i="15" s="1"/>
  <c r="P225" i="15"/>
  <c r="Q225" i="15" s="1"/>
  <c r="K577" i="15"/>
  <c r="O577" i="15"/>
  <c r="Q577" i="15" s="1"/>
  <c r="O436" i="15"/>
  <c r="Q436" i="15" s="1"/>
  <c r="L220" i="15"/>
  <c r="O220" i="15" s="1"/>
  <c r="O51" i="15"/>
  <c r="Q51" i="15" s="1"/>
  <c r="L33" i="15"/>
  <c r="J9" i="15"/>
  <c r="O14" i="14"/>
  <c r="Q14" i="14" s="1"/>
  <c r="K9" i="14"/>
  <c r="L9" i="14"/>
  <c r="O9" i="14" s="1"/>
  <c r="O47" i="14"/>
  <c r="N47" i="14"/>
  <c r="M9" i="14"/>
  <c r="P47" i="14"/>
  <c r="K62" i="13"/>
  <c r="O81" i="13"/>
  <c r="L65" i="13"/>
  <c r="M65" i="13"/>
  <c r="Q81" i="13"/>
  <c r="N76" i="13"/>
  <c r="N81" i="13"/>
  <c r="O58" i="13"/>
  <c r="Q58" i="13" s="1"/>
  <c r="L57" i="13"/>
  <c r="P57" i="13"/>
  <c r="M54" i="13"/>
  <c r="N35" i="13"/>
  <c r="L32" i="13"/>
  <c r="O35" i="13"/>
  <c r="Q35" i="13" s="1"/>
  <c r="P23" i="13"/>
  <c r="Q23" i="13" s="1"/>
  <c r="N23" i="13"/>
  <c r="I10" i="13"/>
  <c r="K10" i="13" s="1"/>
  <c r="O13" i="13"/>
  <c r="O55" i="13"/>
  <c r="Q55" i="13" s="1"/>
  <c r="I54" i="13"/>
  <c r="K54" i="13" s="1"/>
  <c r="K55" i="13"/>
  <c r="O45" i="13"/>
  <c r="Q45" i="13" s="1"/>
  <c r="I42" i="13"/>
  <c r="K42" i="13" s="1"/>
  <c r="L10" i="13"/>
  <c r="M10" i="13"/>
  <c r="O66" i="13"/>
  <c r="Q66" i="13" s="1"/>
  <c r="K66" i="13"/>
  <c r="I65" i="13"/>
  <c r="P51" i="13"/>
  <c r="Q51" i="13" s="1"/>
  <c r="N51" i="13"/>
  <c r="M42" i="13"/>
  <c r="J29" i="13"/>
  <c r="Q13" i="13"/>
  <c r="P60" i="12"/>
  <c r="Q60" i="12" s="1"/>
  <c r="Q69" i="12"/>
  <c r="K60" i="12"/>
  <c r="I27" i="12"/>
  <c r="O27" i="12" s="1"/>
  <c r="I16" i="12"/>
  <c r="O16" i="12" s="1"/>
  <c r="M10" i="12"/>
  <c r="N67" i="12"/>
  <c r="Q30" i="12"/>
  <c r="L66" i="12"/>
  <c r="L59" i="12" s="1"/>
  <c r="N59" i="12" s="1"/>
  <c r="K30" i="12"/>
  <c r="N69" i="12"/>
  <c r="K19" i="12"/>
  <c r="I38" i="12"/>
  <c r="O38" i="12" s="1"/>
  <c r="Q38" i="12" s="1"/>
  <c r="P59" i="12"/>
  <c r="O51" i="12"/>
  <c r="Q51" i="12" s="1"/>
  <c r="I48" i="12"/>
  <c r="Q37" i="12"/>
  <c r="P66" i="12"/>
  <c r="O75" i="12"/>
  <c r="Q75" i="12" s="1"/>
  <c r="K16" i="12"/>
  <c r="P16" i="12"/>
  <c r="Q16" i="12" s="1"/>
  <c r="P11" i="12"/>
  <c r="Q11" i="12" s="1"/>
  <c r="K11" i="12"/>
  <c r="P48" i="12"/>
  <c r="J47" i="12"/>
  <c r="P27" i="12"/>
  <c r="Q74" i="12"/>
  <c r="K66" i="11"/>
  <c r="J62" i="11"/>
  <c r="P62" i="11" s="1"/>
  <c r="O12" i="11"/>
  <c r="K14" i="11"/>
  <c r="Q28" i="11"/>
  <c r="P11" i="11"/>
  <c r="B43" i="1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Q58" i="11"/>
  <c r="Q73" i="11"/>
  <c r="K81" i="11"/>
  <c r="Q19" i="11"/>
  <c r="Q22" i="11"/>
  <c r="Q37" i="11"/>
  <c r="Q43" i="11"/>
  <c r="Q72" i="11"/>
  <c r="Q16" i="11"/>
  <c r="P18" i="11"/>
  <c r="O30" i="11"/>
  <c r="Q67" i="11"/>
  <c r="I68" i="11"/>
  <c r="O68" i="11" s="1"/>
  <c r="Q68" i="11" s="1"/>
  <c r="I18" i="11"/>
  <c r="K18" i="11" s="1"/>
  <c r="I29" i="11"/>
  <c r="O29" i="11" s="1"/>
  <c r="Q40" i="11"/>
  <c r="Q44" i="11"/>
  <c r="Q46" i="11"/>
  <c r="Q49" i="11"/>
  <c r="Q53" i="11"/>
  <c r="O75" i="11"/>
  <c r="N85" i="11"/>
  <c r="M10" i="11"/>
  <c r="P10" i="11" s="1"/>
  <c r="Q25" i="11"/>
  <c r="Q32" i="11"/>
  <c r="I51" i="11"/>
  <c r="O51" i="11" s="1"/>
  <c r="Q65" i="11"/>
  <c r="O69" i="11"/>
  <c r="Q69" i="11" s="1"/>
  <c r="I23" i="11"/>
  <c r="Q52" i="11"/>
  <c r="Q61" i="11"/>
  <c r="L84" i="11"/>
  <c r="O84" i="11" s="1"/>
  <c r="Q87" i="11"/>
  <c r="P88" i="11"/>
  <c r="Q90" i="11"/>
  <c r="O89" i="11"/>
  <c r="O10" i="11"/>
  <c r="K36" i="11"/>
  <c r="K63" i="11"/>
  <c r="Q57" i="11"/>
  <c r="O14" i="11"/>
  <c r="M17" i="11"/>
  <c r="L45" i="11"/>
  <c r="O45" i="11" s="1"/>
  <c r="N47" i="11"/>
  <c r="K50" i="11"/>
  <c r="P21" i="11"/>
  <c r="Q26" i="11"/>
  <c r="Q31" i="11"/>
  <c r="Q41" i="11"/>
  <c r="K57" i="11"/>
  <c r="K68" i="11"/>
  <c r="Q77" i="11"/>
  <c r="L86" i="11"/>
  <c r="K49" i="11"/>
  <c r="Q12" i="11"/>
  <c r="J17" i="11"/>
  <c r="O20" i="11"/>
  <c r="Q20" i="11" s="1"/>
  <c r="L21" i="11"/>
  <c r="L17" i="11" s="1"/>
  <c r="M23" i="11"/>
  <c r="Q47" i="11"/>
  <c r="Q55" i="11"/>
  <c r="Q76" i="11"/>
  <c r="J78" i="11"/>
  <c r="P34" i="11"/>
  <c r="M83" i="11"/>
  <c r="P83" i="11" s="1"/>
  <c r="O11" i="11"/>
  <c r="O15" i="11"/>
  <c r="N28" i="11"/>
  <c r="P29" i="11"/>
  <c r="K30" i="11"/>
  <c r="P30" i="11"/>
  <c r="O35" i="11"/>
  <c r="Q35" i="11" s="1"/>
  <c r="K35" i="11"/>
  <c r="P51" i="11"/>
  <c r="Q51" i="11" s="1"/>
  <c r="Q54" i="11"/>
  <c r="O64" i="11"/>
  <c r="Q64" i="11" s="1"/>
  <c r="K64" i="11"/>
  <c r="I62" i="11"/>
  <c r="Q66" i="11"/>
  <c r="L71" i="11"/>
  <c r="O71" i="11" s="1"/>
  <c r="N72" i="11"/>
  <c r="M71" i="11"/>
  <c r="P75" i="11"/>
  <c r="Q81" i="11"/>
  <c r="P84" i="11"/>
  <c r="N87" i="11"/>
  <c r="K88" i="11"/>
  <c r="O88" i="11"/>
  <c r="P74" i="11"/>
  <c r="K15" i="11"/>
  <c r="P15" i="11"/>
  <c r="J23" i="11"/>
  <c r="P24" i="11"/>
  <c r="K24" i="11"/>
  <c r="L27" i="11"/>
  <c r="N27" i="11" s="1"/>
  <c r="O70" i="11"/>
  <c r="Q70" i="11" s="1"/>
  <c r="K70" i="11"/>
  <c r="P14" i="11"/>
  <c r="K10" i="11"/>
  <c r="K11" i="11"/>
  <c r="O24" i="11"/>
  <c r="Q36" i="11"/>
  <c r="L39" i="11"/>
  <c r="N40" i="11"/>
  <c r="Q42" i="11"/>
  <c r="P45" i="11"/>
  <c r="M39" i="11"/>
  <c r="N39" i="11" s="1"/>
  <c r="Q50" i="11"/>
  <c r="K55" i="11"/>
  <c r="Q60" i="11"/>
  <c r="Q63" i="11"/>
  <c r="P71" i="11"/>
  <c r="I74" i="11"/>
  <c r="O74" i="11" s="1"/>
  <c r="O80" i="11"/>
  <c r="Q80" i="11" s="1"/>
  <c r="K80" i="11"/>
  <c r="I79" i="11"/>
  <c r="O82" i="11"/>
  <c r="Q82" i="11" s="1"/>
  <c r="K82" i="11"/>
  <c r="K89" i="11"/>
  <c r="P89" i="11"/>
  <c r="Q89" i="11" s="1"/>
  <c r="K75" i="11"/>
  <c r="Q18" i="10"/>
  <c r="K14" i="10"/>
  <c r="L10" i="10"/>
  <c r="P12" i="10"/>
  <c r="J11" i="10"/>
  <c r="P11" i="10" s="1"/>
  <c r="O17" i="10"/>
  <c r="K13" i="10"/>
  <c r="O14" i="10"/>
  <c r="Q14" i="10" s="1"/>
  <c r="P17" i="10"/>
  <c r="I19" i="10"/>
  <c r="O19" i="10" s="1"/>
  <c r="Q19" i="10" s="1"/>
  <c r="K20" i="10"/>
  <c r="K15" i="10"/>
  <c r="I12" i="10"/>
  <c r="O12" i="10" s="1"/>
  <c r="J16" i="10"/>
  <c r="M10" i="10"/>
  <c r="Q15" i="10"/>
  <c r="Q13" i="10"/>
  <c r="P16" i="10"/>
  <c r="Q20" i="10"/>
  <c r="P33" i="15" l="1"/>
  <c r="N569" i="15"/>
  <c r="Q27" i="12"/>
  <c r="K27" i="12"/>
  <c r="I17" i="11"/>
  <c r="I48" i="11"/>
  <c r="O48" i="11" s="1"/>
  <c r="P17" i="11"/>
  <c r="Q84" i="11"/>
  <c r="Q10" i="11"/>
  <c r="B444" i="15"/>
  <c r="B445" i="15" s="1"/>
  <c r="B446" i="15" s="1"/>
  <c r="B447" i="15" s="1"/>
  <c r="B448" i="15" s="1"/>
  <c r="B449" i="15" s="1"/>
  <c r="B450" i="15" s="1"/>
  <c r="B451" i="15" s="1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B468" i="15" s="1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B485" i="15" s="1"/>
  <c r="B486" i="15" s="1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B502" i="15" s="1"/>
  <c r="B503" i="15" s="1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B519" i="15" s="1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B536" i="15" s="1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O10" i="16"/>
  <c r="Q10" i="16" s="1"/>
  <c r="K10" i="16"/>
  <c r="K9" i="15"/>
  <c r="Q569" i="15"/>
  <c r="O33" i="15"/>
  <c r="Q33" i="15" s="1"/>
  <c r="L10" i="15"/>
  <c r="O10" i="15" s="1"/>
  <c r="N33" i="15"/>
  <c r="P10" i="15"/>
  <c r="P220" i="15"/>
  <c r="Q220" i="15" s="1"/>
  <c r="M9" i="15"/>
  <c r="Q47" i="14"/>
  <c r="N9" i="14"/>
  <c r="P9" i="14"/>
  <c r="Q9" i="14" s="1"/>
  <c r="J59" i="11"/>
  <c r="N65" i="13"/>
  <c r="P65" i="13"/>
  <c r="P54" i="13"/>
  <c r="O57" i="13"/>
  <c r="Q57" i="13" s="1"/>
  <c r="N57" i="13"/>
  <c r="L54" i="13"/>
  <c r="N54" i="13" s="1"/>
  <c r="O10" i="13"/>
  <c r="O42" i="13"/>
  <c r="I29" i="13"/>
  <c r="K29" i="13" s="1"/>
  <c r="J9" i="13"/>
  <c r="L29" i="13"/>
  <c r="N32" i="13"/>
  <c r="O32" i="13"/>
  <c r="Q32" i="13" s="1"/>
  <c r="P42" i="13"/>
  <c r="M29" i="13"/>
  <c r="N42" i="13"/>
  <c r="K65" i="13"/>
  <c r="O65" i="13"/>
  <c r="N10" i="13"/>
  <c r="P10" i="13"/>
  <c r="I9" i="13"/>
  <c r="O59" i="12"/>
  <c r="Q59" i="12" s="1"/>
  <c r="N66" i="12"/>
  <c r="L10" i="12"/>
  <c r="N10" i="12" s="1"/>
  <c r="K38" i="12"/>
  <c r="O66" i="12"/>
  <c r="Q66" i="12" s="1"/>
  <c r="O48" i="12"/>
  <c r="Q48" i="12" s="1"/>
  <c r="I47" i="12"/>
  <c r="K47" i="12" s="1"/>
  <c r="K48" i="12"/>
  <c r="P47" i="12"/>
  <c r="J10" i="12"/>
  <c r="Q88" i="11"/>
  <c r="Q11" i="11"/>
  <c r="Q75" i="11"/>
  <c r="Q15" i="11"/>
  <c r="M13" i="11"/>
  <c r="Q14" i="11"/>
  <c r="Q30" i="11"/>
  <c r="N84" i="11"/>
  <c r="Q45" i="11"/>
  <c r="K29" i="11"/>
  <c r="K51" i="11"/>
  <c r="O18" i="11"/>
  <c r="Q18" i="11" s="1"/>
  <c r="N86" i="11"/>
  <c r="L83" i="11"/>
  <c r="Q24" i="11"/>
  <c r="Q29" i="11"/>
  <c r="N45" i="11"/>
  <c r="N21" i="11"/>
  <c r="O86" i="11"/>
  <c r="Q86" i="11" s="1"/>
  <c r="O21" i="11"/>
  <c r="Q21" i="11" s="1"/>
  <c r="N17" i="11"/>
  <c r="K79" i="11"/>
  <c r="O79" i="11"/>
  <c r="Q79" i="11" s="1"/>
  <c r="I78" i="11"/>
  <c r="Q71" i="11"/>
  <c r="K23" i="11"/>
  <c r="J13" i="11"/>
  <c r="P23" i="11"/>
  <c r="M33" i="11"/>
  <c r="K74" i="11"/>
  <c r="N83" i="11"/>
  <c r="M78" i="11"/>
  <c r="L59" i="11"/>
  <c r="I33" i="11"/>
  <c r="O34" i="11"/>
  <c r="Q34" i="11" s="1"/>
  <c r="K34" i="11"/>
  <c r="L33" i="11"/>
  <c r="O39" i="11"/>
  <c r="O27" i="11"/>
  <c r="Q27" i="11" s="1"/>
  <c r="L23" i="11"/>
  <c r="Q74" i="11"/>
  <c r="N71" i="11"/>
  <c r="M59" i="11"/>
  <c r="O62" i="11"/>
  <c r="Q62" i="11" s="1"/>
  <c r="I59" i="11"/>
  <c r="K62" i="11"/>
  <c r="K48" i="11"/>
  <c r="P48" i="11"/>
  <c r="Q48" i="11" s="1"/>
  <c r="I13" i="11"/>
  <c r="K17" i="11"/>
  <c r="O17" i="11"/>
  <c r="Q17" i="11" s="1"/>
  <c r="J33" i="11"/>
  <c r="P39" i="11"/>
  <c r="J10" i="10"/>
  <c r="P10" i="10" s="1"/>
  <c r="Q17" i="10"/>
  <c r="K19" i="10"/>
  <c r="I16" i="10"/>
  <c r="K16" i="10" s="1"/>
  <c r="I11" i="10"/>
  <c r="O11" i="10" s="1"/>
  <c r="Q11" i="10" s="1"/>
  <c r="Q12" i="10"/>
  <c r="K12" i="10"/>
  <c r="B549" i="15" l="1"/>
  <c r="B550" i="15" s="1"/>
  <c r="B551" i="15" s="1"/>
  <c r="B552" i="15" s="1"/>
  <c r="B553" i="15" s="1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B570" i="15" s="1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B587" i="15" s="1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B604" i="15" s="1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B621" i="15" s="1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B638" i="15" s="1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B655" i="15" s="1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N10" i="15"/>
  <c r="L9" i="15"/>
  <c r="O9" i="15" s="1"/>
  <c r="P9" i="15"/>
  <c r="Q10" i="15"/>
  <c r="Q65" i="13"/>
  <c r="O29" i="13"/>
  <c r="O54" i="13"/>
  <c r="Q54" i="13" s="1"/>
  <c r="Q10" i="13"/>
  <c r="K9" i="13"/>
  <c r="N29" i="13"/>
  <c r="P29" i="13"/>
  <c r="Q29" i="13" s="1"/>
  <c r="Q42" i="13"/>
  <c r="L9" i="13"/>
  <c r="O9" i="13" s="1"/>
  <c r="M9" i="13"/>
  <c r="O47" i="12"/>
  <c r="Q47" i="12" s="1"/>
  <c r="I10" i="12"/>
  <c r="O10" i="12" s="1"/>
  <c r="P10" i="12"/>
  <c r="Q39" i="11"/>
  <c r="O33" i="11"/>
  <c r="L78" i="11"/>
  <c r="N78" i="11" s="1"/>
  <c r="O83" i="11"/>
  <c r="Q83" i="11" s="1"/>
  <c r="N33" i="11"/>
  <c r="O59" i="11"/>
  <c r="K59" i="11"/>
  <c r="M9" i="11"/>
  <c r="P78" i="11"/>
  <c r="I9" i="11"/>
  <c r="K78" i="11"/>
  <c r="K33" i="11"/>
  <c r="P33" i="11"/>
  <c r="J9" i="11"/>
  <c r="O23" i="11"/>
  <c r="Q23" i="11" s="1"/>
  <c r="L13" i="11"/>
  <c r="N13" i="11" s="1"/>
  <c r="N23" i="11"/>
  <c r="K13" i="11"/>
  <c r="P13" i="11"/>
  <c r="N59" i="11"/>
  <c r="P59" i="11"/>
  <c r="I10" i="10"/>
  <c r="O10" i="10" s="1"/>
  <c r="K11" i="10"/>
  <c r="O16" i="10"/>
  <c r="Q16" i="10" s="1"/>
  <c r="K10" i="10"/>
  <c r="Q10" i="10"/>
  <c r="Q59" i="11" l="1"/>
  <c r="B681" i="15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B718" i="15" s="1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B730" i="15" s="1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B751" i="15" s="1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B765" i="15" s="1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B792" i="15" s="1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B822" i="15" s="1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Q9" i="15"/>
  <c r="N9" i="15"/>
  <c r="N9" i="13"/>
  <c r="P9" i="13"/>
  <c r="Q9" i="13" s="1"/>
  <c r="K10" i="12"/>
  <c r="Q10" i="12"/>
  <c r="Q33" i="11"/>
  <c r="O78" i="11"/>
  <c r="Q78" i="11" s="1"/>
  <c r="P9" i="11"/>
  <c r="K9" i="11"/>
  <c r="O13" i="11"/>
  <c r="Q13" i="11" s="1"/>
  <c r="L9" i="11"/>
  <c r="O9" i="11" s="1"/>
  <c r="Q9" i="11" l="1"/>
  <c r="N9" i="11"/>
  <c r="P38" i="9" l="1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I12" i="9"/>
  <c r="J12" i="9"/>
  <c r="K12" i="9" s="1"/>
  <c r="L12" i="9"/>
  <c r="L11" i="9" s="1"/>
  <c r="M12" i="9"/>
  <c r="K13" i="9"/>
  <c r="O13" i="9"/>
  <c r="P13" i="9"/>
  <c r="Q13" i="9" s="1"/>
  <c r="K14" i="9"/>
  <c r="O14" i="9"/>
  <c r="P14" i="9"/>
  <c r="K15" i="9"/>
  <c r="O15" i="9"/>
  <c r="P15" i="9"/>
  <c r="K16" i="9"/>
  <c r="O16" i="9"/>
  <c r="P16" i="9"/>
  <c r="K17" i="9"/>
  <c r="O17" i="9"/>
  <c r="P17" i="9"/>
  <c r="I19" i="9"/>
  <c r="I18" i="9" s="1"/>
  <c r="J19" i="9"/>
  <c r="L19" i="9"/>
  <c r="L18" i="9" s="1"/>
  <c r="M19" i="9"/>
  <c r="M18" i="9" s="1"/>
  <c r="K20" i="9"/>
  <c r="O20" i="9"/>
  <c r="P20" i="9"/>
  <c r="I22" i="9"/>
  <c r="I21" i="9" s="1"/>
  <c r="J22" i="9"/>
  <c r="J21" i="9" s="1"/>
  <c r="L22" i="9"/>
  <c r="L21" i="9" s="1"/>
  <c r="M22" i="9"/>
  <c r="M21" i="9" s="1"/>
  <c r="K23" i="9"/>
  <c r="O23" i="9"/>
  <c r="P23" i="9"/>
  <c r="I25" i="9"/>
  <c r="I24" i="9" s="1"/>
  <c r="J25" i="9"/>
  <c r="J24" i="9" s="1"/>
  <c r="L25" i="9"/>
  <c r="M25" i="9"/>
  <c r="K26" i="9"/>
  <c r="O26" i="9"/>
  <c r="P26" i="9"/>
  <c r="K28" i="9"/>
  <c r="O28" i="9"/>
  <c r="P28" i="9"/>
  <c r="I29" i="9"/>
  <c r="I27" i="9" s="1"/>
  <c r="J29" i="9"/>
  <c r="L29" i="9"/>
  <c r="L27" i="9" s="1"/>
  <c r="M29" i="9"/>
  <c r="M27" i="9" s="1"/>
  <c r="K30" i="9"/>
  <c r="O30" i="9"/>
  <c r="P30" i="9"/>
  <c r="Q30" i="9" s="1"/>
  <c r="K31" i="9"/>
  <c r="O31" i="9"/>
  <c r="P31" i="9"/>
  <c r="I33" i="9"/>
  <c r="P33" i="9"/>
  <c r="L34" i="9"/>
  <c r="M34" i="9"/>
  <c r="K35" i="9"/>
  <c r="O35" i="9"/>
  <c r="P35" i="9"/>
  <c r="I36" i="9"/>
  <c r="P36" i="9"/>
  <c r="J37" i="9"/>
  <c r="J34" i="9" s="1"/>
  <c r="J32" i="9" s="1"/>
  <c r="I38" i="9"/>
  <c r="I37" i="9" s="1"/>
  <c r="K39" i="9"/>
  <c r="O39" i="9"/>
  <c r="P39" i="9"/>
  <c r="K40" i="9"/>
  <c r="O40" i="9"/>
  <c r="P40" i="9"/>
  <c r="I41" i="9"/>
  <c r="J41" i="9"/>
  <c r="M42" i="9"/>
  <c r="P42" i="9" s="1"/>
  <c r="L43" i="9"/>
  <c r="L42" i="9" s="1"/>
  <c r="O42" i="9" s="1"/>
  <c r="P43" i="9"/>
  <c r="L44" i="9"/>
  <c r="O44" i="9" s="1"/>
  <c r="M44" i="9"/>
  <c r="N45" i="9"/>
  <c r="O45" i="9"/>
  <c r="P45" i="9"/>
  <c r="N46" i="9"/>
  <c r="O46" i="9"/>
  <c r="P46" i="9"/>
  <c r="K48" i="9"/>
  <c r="J49" i="9"/>
  <c r="L49" i="9"/>
  <c r="M49" i="9"/>
  <c r="K50" i="9"/>
  <c r="O50" i="9"/>
  <c r="P50" i="9"/>
  <c r="K51" i="9"/>
  <c r="O51" i="9"/>
  <c r="P51" i="9"/>
  <c r="K52" i="9"/>
  <c r="O52" i="9"/>
  <c r="P52" i="9"/>
  <c r="I53" i="9"/>
  <c r="I49" i="9" s="1"/>
  <c r="P53" i="9"/>
  <c r="K54" i="9"/>
  <c r="O54" i="9"/>
  <c r="P54" i="9"/>
  <c r="I55" i="9"/>
  <c r="J55" i="9"/>
  <c r="M56" i="9"/>
  <c r="P56" i="9" s="1"/>
  <c r="L57" i="9"/>
  <c r="P57" i="9"/>
  <c r="M58" i="9"/>
  <c r="P58" i="9" s="1"/>
  <c r="L59" i="9"/>
  <c r="P59" i="9"/>
  <c r="L60" i="9"/>
  <c r="O60" i="9" s="1"/>
  <c r="N60" i="9"/>
  <c r="P60" i="9"/>
  <c r="I65" i="9"/>
  <c r="K65" i="9" s="1"/>
  <c r="P65" i="9"/>
  <c r="J66" i="9"/>
  <c r="L66" i="9"/>
  <c r="L64" i="9" s="1"/>
  <c r="M66" i="9"/>
  <c r="M64" i="9" s="1"/>
  <c r="M63" i="9" s="1"/>
  <c r="K67" i="9"/>
  <c r="O67" i="9"/>
  <c r="P67" i="9"/>
  <c r="K68" i="9"/>
  <c r="O68" i="9"/>
  <c r="P68" i="9"/>
  <c r="I69" i="9"/>
  <c r="I66" i="9" s="1"/>
  <c r="O66" i="9" s="1"/>
  <c r="P69" i="9"/>
  <c r="I70" i="9"/>
  <c r="J70" i="9"/>
  <c r="L70" i="9"/>
  <c r="M70" i="9"/>
  <c r="K71" i="9"/>
  <c r="O71" i="9"/>
  <c r="P71" i="9"/>
  <c r="Q71" i="9" s="1"/>
  <c r="K72" i="9"/>
  <c r="O72" i="9"/>
  <c r="P72" i="9"/>
  <c r="I51" i="2"/>
  <c r="K22" i="8"/>
  <c r="I388" i="2"/>
  <c r="I376" i="2"/>
  <c r="I43" i="2"/>
  <c r="I34" i="2"/>
  <c r="I36" i="2"/>
  <c r="I33" i="2"/>
  <c r="I32" i="2"/>
  <c r="Q68" i="9" l="1"/>
  <c r="Q45" i="9"/>
  <c r="Q17" i="9"/>
  <c r="Q72" i="9"/>
  <c r="Q28" i="9"/>
  <c r="Q42" i="9"/>
  <c r="O29" i="9"/>
  <c r="J47" i="9"/>
  <c r="P49" i="9"/>
  <c r="B43" i="9"/>
  <c r="B44" i="9" s="1"/>
  <c r="B45" i="9" s="1"/>
  <c r="B46" i="9" s="1"/>
  <c r="B47" i="9" s="1"/>
  <c r="B48" i="9" s="1"/>
  <c r="B49" i="9" s="1"/>
  <c r="B50" i="9" s="1"/>
  <c r="B51" i="9" s="1"/>
  <c r="B72" i="9" s="1"/>
  <c r="Q31" i="9"/>
  <c r="Q60" i="9"/>
  <c r="N42" i="9"/>
  <c r="Q40" i="9"/>
  <c r="P22" i="9"/>
  <c r="P21" i="9"/>
  <c r="Q15" i="9"/>
  <c r="O12" i="9"/>
  <c r="I47" i="9"/>
  <c r="Q52" i="9"/>
  <c r="M48" i="9"/>
  <c r="P48" i="9" s="1"/>
  <c r="M41" i="9"/>
  <c r="M32" i="9" s="1"/>
  <c r="K37" i="9"/>
  <c r="O21" i="9"/>
  <c r="O69" i="9"/>
  <c r="Q69" i="9" s="1"/>
  <c r="Q67" i="9"/>
  <c r="Q50" i="9"/>
  <c r="P37" i="9"/>
  <c r="O25" i="9"/>
  <c r="O22" i="9"/>
  <c r="O19" i="9"/>
  <c r="Q16" i="9"/>
  <c r="P12" i="9"/>
  <c r="J11" i="9"/>
  <c r="K21" i="9"/>
  <c r="K69" i="9"/>
  <c r="I64" i="9"/>
  <c r="L58" i="9"/>
  <c r="N58" i="9" s="1"/>
  <c r="Q54" i="9"/>
  <c r="K49" i="9"/>
  <c r="Q26" i="9"/>
  <c r="K22" i="9"/>
  <c r="Q20" i="9"/>
  <c r="Q14" i="9"/>
  <c r="O70" i="9"/>
  <c r="J64" i="9"/>
  <c r="K66" i="9"/>
  <c r="P66" i="9"/>
  <c r="Q66" i="9" s="1"/>
  <c r="K36" i="9"/>
  <c r="O36" i="9"/>
  <c r="Q36" i="9" s="1"/>
  <c r="P34" i="9"/>
  <c r="K29" i="9"/>
  <c r="P29" i="9"/>
  <c r="Q29" i="9" s="1"/>
  <c r="J27" i="9"/>
  <c r="P27" i="9" s="1"/>
  <c r="K25" i="9"/>
  <c r="P25" i="9"/>
  <c r="K47" i="9"/>
  <c r="P70" i="9"/>
  <c r="L56" i="9"/>
  <c r="O56" i="9" s="1"/>
  <c r="Q56" i="9" s="1"/>
  <c r="N57" i="9"/>
  <c r="O57" i="9"/>
  <c r="Q57" i="9" s="1"/>
  <c r="N44" i="9"/>
  <c r="P44" i="9"/>
  <c r="Q44" i="9" s="1"/>
  <c r="Q39" i="9"/>
  <c r="O37" i="9"/>
  <c r="I34" i="9"/>
  <c r="K34" i="9" s="1"/>
  <c r="Q35" i="9"/>
  <c r="O18" i="9"/>
  <c r="O64" i="9"/>
  <c r="L63" i="9"/>
  <c r="O27" i="9"/>
  <c r="P63" i="9"/>
  <c r="M62" i="9"/>
  <c r="Q51" i="9"/>
  <c r="O49" i="9"/>
  <c r="L48" i="9"/>
  <c r="O48" i="9" s="1"/>
  <c r="Q46" i="9"/>
  <c r="K33" i="9"/>
  <c r="O33" i="9"/>
  <c r="Q33" i="9" s="1"/>
  <c r="O24" i="9"/>
  <c r="Q23" i="9"/>
  <c r="K19" i="9"/>
  <c r="P19" i="9"/>
  <c r="J18" i="9"/>
  <c r="K18" i="9" s="1"/>
  <c r="O65" i="9"/>
  <c r="Q65" i="9" s="1"/>
  <c r="O59" i="9"/>
  <c r="Q59" i="9" s="1"/>
  <c r="M55" i="9"/>
  <c r="O53" i="9"/>
  <c r="Q53" i="9" s="1"/>
  <c r="O43" i="9"/>
  <c r="Q43" i="9" s="1"/>
  <c r="L41" i="9"/>
  <c r="O38" i="9"/>
  <c r="Q38" i="9" s="1"/>
  <c r="M11" i="9"/>
  <c r="I11" i="9"/>
  <c r="O11" i="9" s="1"/>
  <c r="K70" i="9"/>
  <c r="N59" i="9"/>
  <c r="K53" i="9"/>
  <c r="N43" i="9"/>
  <c r="K38" i="9"/>
  <c r="K13" i="7"/>
  <c r="K16" i="7"/>
  <c r="K21" i="7"/>
  <c r="K22" i="7"/>
  <c r="K23" i="7"/>
  <c r="L36" i="8"/>
  <c r="L35" i="8"/>
  <c r="L34" i="8"/>
  <c r="L33" i="8"/>
  <c r="L26" i="8"/>
  <c r="K31" i="8"/>
  <c r="P12" i="7"/>
  <c r="P13" i="7"/>
  <c r="P16" i="7"/>
  <c r="P17" i="7"/>
  <c r="P19" i="7"/>
  <c r="P20" i="7"/>
  <c r="P21" i="7"/>
  <c r="P22" i="7"/>
  <c r="P23" i="7"/>
  <c r="M11" i="7"/>
  <c r="M10" i="7" s="1"/>
  <c r="M15" i="7"/>
  <c r="M14" i="7" s="1"/>
  <c r="P14" i="7" s="1"/>
  <c r="J11" i="7"/>
  <c r="J18" i="7"/>
  <c r="P18" i="7" s="1"/>
  <c r="Q37" i="9" l="1"/>
  <c r="Q49" i="9"/>
  <c r="Q70" i="9"/>
  <c r="K64" i="9"/>
  <c r="K11" i="9"/>
  <c r="Q48" i="9"/>
  <c r="Q22" i="9"/>
  <c r="Q12" i="9"/>
  <c r="P41" i="9"/>
  <c r="Q25" i="9"/>
  <c r="P11" i="9"/>
  <c r="Q11" i="9" s="1"/>
  <c r="Q21" i="9"/>
  <c r="M10" i="9"/>
  <c r="Q27" i="9"/>
  <c r="Q19" i="9"/>
  <c r="O58" i="9"/>
  <c r="Q58" i="9" s="1"/>
  <c r="I10" i="9"/>
  <c r="P64" i="9"/>
  <c r="Q64" i="9" s="1"/>
  <c r="O34" i="9"/>
  <c r="Q34" i="9" s="1"/>
  <c r="P55" i="9"/>
  <c r="M47" i="9"/>
  <c r="P62" i="9"/>
  <c r="M61" i="9"/>
  <c r="P61" i="9" s="1"/>
  <c r="L10" i="9"/>
  <c r="P18" i="9"/>
  <c r="Q18" i="9" s="1"/>
  <c r="L32" i="9"/>
  <c r="O41" i="9"/>
  <c r="O63" i="9"/>
  <c r="L62" i="9"/>
  <c r="K27" i="9"/>
  <c r="N56" i="9"/>
  <c r="I32" i="9"/>
  <c r="P32" i="9"/>
  <c r="N32" i="9"/>
  <c r="N41" i="9"/>
  <c r="L55" i="9"/>
  <c r="J10" i="7"/>
  <c r="P11" i="7"/>
  <c r="J15" i="7"/>
  <c r="J9" i="7" s="1"/>
  <c r="M9" i="7"/>
  <c r="M8" i="7" s="1"/>
  <c r="H16" i="8" s="1"/>
  <c r="H15" i="8" l="1"/>
  <c r="Q41" i="9"/>
  <c r="O10" i="9"/>
  <c r="P47" i="9"/>
  <c r="M9" i="9"/>
  <c r="O55" i="9"/>
  <c r="L47" i="9"/>
  <c r="L61" i="9"/>
  <c r="O61" i="9" s="1"/>
  <c r="O62" i="9"/>
  <c r="O32" i="9"/>
  <c r="Q32" i="9" s="1"/>
  <c r="N55" i="9"/>
  <c r="K32" i="9"/>
  <c r="I9" i="9"/>
  <c r="Q55" i="9"/>
  <c r="J8" i="7"/>
  <c r="E10" i="8"/>
  <c r="H14" i="8"/>
  <c r="P15" i="7"/>
  <c r="P10" i="7"/>
  <c r="O47" i="9" l="1"/>
  <c r="Q47" i="9" s="1"/>
  <c r="L9" i="9"/>
  <c r="O9" i="9" s="1"/>
  <c r="N47" i="9"/>
  <c r="K24" i="9"/>
  <c r="P24" i="9"/>
  <c r="Q24" i="9" s="1"/>
  <c r="J10" i="9"/>
  <c r="E8" i="8"/>
  <c r="P9" i="7"/>
  <c r="H13" i="8"/>
  <c r="E9" i="8"/>
  <c r="P8" i="7"/>
  <c r="E16" i="8"/>
  <c r="H12" i="8"/>
  <c r="K16" i="8" l="1"/>
  <c r="N9" i="9"/>
  <c r="K10" i="9"/>
  <c r="J9" i="9"/>
  <c r="P10" i="9"/>
  <c r="Q10" i="9" s="1"/>
  <c r="H8" i="8"/>
  <c r="E15" i="8"/>
  <c r="E11" i="8"/>
  <c r="E14" i="8"/>
  <c r="E13" i="8"/>
  <c r="H9" i="8"/>
  <c r="H6" i="8"/>
  <c r="O23" i="7"/>
  <c r="Q23" i="7" s="1"/>
  <c r="O22" i="7"/>
  <c r="Q22" i="7" s="1"/>
  <c r="O21" i="7"/>
  <c r="Q21" i="7" s="1"/>
  <c r="I20" i="7"/>
  <c r="I19" i="7"/>
  <c r="K19" i="7" s="1"/>
  <c r="I17" i="7"/>
  <c r="O16" i="7"/>
  <c r="Q16" i="7" s="1"/>
  <c r="L15" i="7"/>
  <c r="L14" i="7"/>
  <c r="O14" i="7" s="1"/>
  <c r="O13" i="7"/>
  <c r="Q13" i="7" s="1"/>
  <c r="I12" i="7"/>
  <c r="K12" i="7" s="1"/>
  <c r="L11" i="7"/>
  <c r="L10" i="7"/>
  <c r="L9" i="7" s="1"/>
  <c r="L8" i="7" s="1"/>
  <c r="G16" i="8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G6" i="8"/>
  <c r="J441" i="2"/>
  <c r="J448" i="2"/>
  <c r="J451" i="2"/>
  <c r="J452" i="2"/>
  <c r="J17" i="2"/>
  <c r="J20" i="2"/>
  <c r="J22" i="2"/>
  <c r="J23" i="2"/>
  <c r="J28" i="2"/>
  <c r="J30" i="2"/>
  <c r="J32" i="2"/>
  <c r="J34" i="2"/>
  <c r="J35" i="2"/>
  <c r="J36" i="2"/>
  <c r="J40" i="2"/>
  <c r="J42" i="2"/>
  <c r="J44" i="2"/>
  <c r="J45" i="2"/>
  <c r="J48" i="2"/>
  <c r="J51" i="2"/>
  <c r="J54" i="2"/>
  <c r="J65" i="2"/>
  <c r="J66" i="2"/>
  <c r="J68" i="2"/>
  <c r="J69" i="2"/>
  <c r="J70" i="2"/>
  <c r="J71" i="2"/>
  <c r="J74" i="2"/>
  <c r="J77" i="2"/>
  <c r="J78" i="2"/>
  <c r="J79" i="2"/>
  <c r="J80" i="2"/>
  <c r="J81" i="2"/>
  <c r="J83" i="2"/>
  <c r="J84" i="2"/>
  <c r="J85" i="2"/>
  <c r="J86" i="2"/>
  <c r="J88" i="2"/>
  <c r="J89" i="2"/>
  <c r="J91" i="2"/>
  <c r="J92" i="2"/>
  <c r="J93" i="2"/>
  <c r="J101" i="2"/>
  <c r="J104" i="2"/>
  <c r="J108" i="2"/>
  <c r="J111" i="2"/>
  <c r="J114" i="2"/>
  <c r="J118" i="2"/>
  <c r="J122" i="2"/>
  <c r="J126" i="2"/>
  <c r="J130" i="2"/>
  <c r="J134" i="2"/>
  <c r="J138" i="2"/>
  <c r="J142" i="2"/>
  <c r="J146" i="2"/>
  <c r="J150" i="2"/>
  <c r="J151" i="2"/>
  <c r="J155" i="2"/>
  <c r="J159" i="2"/>
  <c r="J163" i="2"/>
  <c r="J167" i="2"/>
  <c r="J171" i="2"/>
  <c r="J175" i="2"/>
  <c r="J179" i="2"/>
  <c r="J183" i="2"/>
  <c r="J187" i="2"/>
  <c r="J188" i="2"/>
  <c r="J189" i="2"/>
  <c r="J193" i="2"/>
  <c r="J197" i="2"/>
  <c r="J204" i="2"/>
  <c r="J207" i="2"/>
  <c r="J208" i="2"/>
  <c r="J212" i="2"/>
  <c r="J219" i="2"/>
  <c r="J223" i="2"/>
  <c r="J231" i="2"/>
  <c r="J235" i="2"/>
  <c r="J241" i="2"/>
  <c r="J248" i="2"/>
  <c r="J249" i="2"/>
  <c r="J252" i="2"/>
  <c r="J255" i="2"/>
  <c r="J256" i="2"/>
  <c r="J260" i="2"/>
  <c r="J267" i="2"/>
  <c r="J277" i="2"/>
  <c r="J280" i="2"/>
  <c r="J281" i="2"/>
  <c r="J289" i="2"/>
  <c r="J290" i="2"/>
  <c r="J294" i="2"/>
  <c r="J297" i="2"/>
  <c r="J308" i="2"/>
  <c r="J311" i="2"/>
  <c r="J312" i="2"/>
  <c r="J323" i="2"/>
  <c r="J326" i="2"/>
  <c r="J327" i="2"/>
  <c r="J334" i="2"/>
  <c r="J335" i="2"/>
  <c r="J338" i="2"/>
  <c r="J341" i="2"/>
  <c r="J342" i="2"/>
  <c r="J349" i="2"/>
  <c r="J350" i="2"/>
  <c r="J353" i="2"/>
  <c r="J356" i="2"/>
  <c r="J360" i="2"/>
  <c r="J363" i="2"/>
  <c r="J366" i="2"/>
  <c r="J377" i="2"/>
  <c r="J378" i="2"/>
  <c r="J379" i="2"/>
  <c r="J380" i="2"/>
  <c r="J381" i="2"/>
  <c r="J386" i="2"/>
  <c r="J388" i="2"/>
  <c r="J389" i="2"/>
  <c r="J390" i="2"/>
  <c r="J391" i="2"/>
  <c r="J395" i="2"/>
  <c r="J402" i="2"/>
  <c r="J406" i="2"/>
  <c r="J414" i="2"/>
  <c r="J426" i="2"/>
  <c r="J16" i="2"/>
  <c r="J15" i="2"/>
  <c r="I440" i="2"/>
  <c r="I442" i="2"/>
  <c r="I447" i="2"/>
  <c r="I450" i="2"/>
  <c r="I449" i="2" s="1"/>
  <c r="I11" i="2"/>
  <c r="I10" i="2" s="1"/>
  <c r="I14" i="2"/>
  <c r="I13" i="2" s="1"/>
  <c r="I19" i="2"/>
  <c r="I18" i="2" s="1"/>
  <c r="I27" i="2"/>
  <c r="I31" i="2"/>
  <c r="I29" i="2" s="1"/>
  <c r="I38" i="2"/>
  <c r="I41" i="2"/>
  <c r="I47" i="2"/>
  <c r="I50" i="2"/>
  <c r="I49" i="2" s="1"/>
  <c r="I53" i="2"/>
  <c r="I52" i="2" s="1"/>
  <c r="I59" i="2"/>
  <c r="I58" i="2" s="1"/>
  <c r="I57" i="2" s="1"/>
  <c r="I64" i="2"/>
  <c r="I67" i="2"/>
  <c r="I100" i="2"/>
  <c r="I99" i="2" s="1"/>
  <c r="I103" i="2"/>
  <c r="I107" i="2"/>
  <c r="I106" i="2" s="1"/>
  <c r="I110" i="2"/>
  <c r="I109" i="2" s="1"/>
  <c r="I113" i="2"/>
  <c r="I112" i="2" s="1"/>
  <c r="I117" i="2"/>
  <c r="I116" i="2" s="1"/>
  <c r="I115" i="2" s="1"/>
  <c r="I121" i="2"/>
  <c r="I120" i="2" s="1"/>
  <c r="I119" i="2" s="1"/>
  <c r="I125" i="2"/>
  <c r="I124" i="2" s="1"/>
  <c r="I123" i="2" s="1"/>
  <c r="I129" i="2"/>
  <c r="I128" i="2" s="1"/>
  <c r="I127" i="2" s="1"/>
  <c r="I133" i="2"/>
  <c r="I132" i="2" s="1"/>
  <c r="I131" i="2" s="1"/>
  <c r="I137" i="2"/>
  <c r="I136" i="2" s="1"/>
  <c r="I135" i="2" s="1"/>
  <c r="I141" i="2"/>
  <c r="I140" i="2" s="1"/>
  <c r="I139" i="2" s="1"/>
  <c r="I145" i="2"/>
  <c r="I144" i="2" s="1"/>
  <c r="I143" i="2" s="1"/>
  <c r="I149" i="2"/>
  <c r="I148" i="2" s="1"/>
  <c r="I147" i="2" s="1"/>
  <c r="I154" i="2"/>
  <c r="I153" i="2" s="1"/>
  <c r="I152" i="2" s="1"/>
  <c r="I158" i="2"/>
  <c r="I157" i="2" s="1"/>
  <c r="I156" i="2" s="1"/>
  <c r="I162" i="2"/>
  <c r="I161" i="2" s="1"/>
  <c r="I160" i="2" s="1"/>
  <c r="I166" i="2"/>
  <c r="I165" i="2" s="1"/>
  <c r="I170" i="2"/>
  <c r="I169" i="2" s="1"/>
  <c r="I168" i="2" s="1"/>
  <c r="I174" i="2"/>
  <c r="I173" i="2" s="1"/>
  <c r="I172" i="2" s="1"/>
  <c r="I178" i="2"/>
  <c r="I177" i="2" s="1"/>
  <c r="I176" i="2" s="1"/>
  <c r="I182" i="2"/>
  <c r="I181" i="2" s="1"/>
  <c r="I186" i="2"/>
  <c r="I185" i="2" s="1"/>
  <c r="I184" i="2" s="1"/>
  <c r="I192" i="2"/>
  <c r="I196" i="2"/>
  <c r="I195" i="2" s="1"/>
  <c r="I199" i="2"/>
  <c r="I198" i="2" s="1"/>
  <c r="I203" i="2"/>
  <c r="I202" i="2" s="1"/>
  <c r="I206" i="2"/>
  <c r="I205" i="2" s="1"/>
  <c r="I211" i="2"/>
  <c r="I210" i="2" s="1"/>
  <c r="I209" i="2" s="1"/>
  <c r="I218" i="2"/>
  <c r="I217" i="2" s="1"/>
  <c r="I213" i="2" s="1"/>
  <c r="I222" i="2"/>
  <c r="I226" i="2"/>
  <c r="I225" i="2" s="1"/>
  <c r="I224" i="2" s="1"/>
  <c r="I230" i="2"/>
  <c r="I229" i="2" s="1"/>
  <c r="I228" i="2" s="1"/>
  <c r="I234" i="2"/>
  <c r="I239" i="2"/>
  <c r="I244" i="2"/>
  <c r="I243" i="2" s="1"/>
  <c r="I247" i="2"/>
  <c r="I246" i="2" s="1"/>
  <c r="I251" i="2"/>
  <c r="I250" i="2" s="1"/>
  <c r="I254" i="2"/>
  <c r="I253" i="2" s="1"/>
  <c r="I259" i="2"/>
  <c r="I258" i="2" s="1"/>
  <c r="I262" i="2"/>
  <c r="I261" i="2" s="1"/>
  <c r="I265" i="2"/>
  <c r="I270" i="2"/>
  <c r="I269" i="2" s="1"/>
  <c r="I273" i="2"/>
  <c r="I272" i="2" s="1"/>
  <c r="I276" i="2"/>
  <c r="I275" i="2" s="1"/>
  <c r="I279" i="2"/>
  <c r="I278" i="2" s="1"/>
  <c r="I284" i="2"/>
  <c r="I283" i="2" s="1"/>
  <c r="I287" i="2"/>
  <c r="I286" i="2" s="1"/>
  <c r="I293" i="2"/>
  <c r="I292" i="2" s="1"/>
  <c r="I296" i="2"/>
  <c r="I295" i="2" s="1"/>
  <c r="I300" i="2"/>
  <c r="I299" i="2" s="1"/>
  <c r="I303" i="2"/>
  <c r="I302" i="2" s="1"/>
  <c r="I307" i="2"/>
  <c r="I306" i="2" s="1"/>
  <c r="I310" i="2"/>
  <c r="I309" i="2" s="1"/>
  <c r="I315" i="2"/>
  <c r="I314" i="2" s="1"/>
  <c r="I317" i="2"/>
  <c r="I322" i="2"/>
  <c r="I321" i="2" s="1"/>
  <c r="I325" i="2"/>
  <c r="I330" i="2"/>
  <c r="I329" i="2" s="1"/>
  <c r="I333" i="2"/>
  <c r="I332" i="2" s="1"/>
  <c r="I337" i="2"/>
  <c r="I340" i="2"/>
  <c r="I339" i="2" s="1"/>
  <c r="I345" i="2"/>
  <c r="I344" i="2" s="1"/>
  <c r="I348" i="2"/>
  <c r="I347" i="2" s="1"/>
  <c r="I352" i="2"/>
  <c r="I351" i="2" s="1"/>
  <c r="I355" i="2"/>
  <c r="I354" i="2" s="1"/>
  <c r="I359" i="2"/>
  <c r="I358" i="2" s="1"/>
  <c r="I362" i="2"/>
  <c r="I361" i="2" s="1"/>
  <c r="I365" i="2"/>
  <c r="I364" i="2" s="1"/>
  <c r="I373" i="2"/>
  <c r="I382" i="2"/>
  <c r="I394" i="2"/>
  <c r="I396" i="2"/>
  <c r="I401" i="2"/>
  <c r="I400" i="2" s="1"/>
  <c r="I399" i="2" s="1"/>
  <c r="I398" i="2" s="1"/>
  <c r="I405" i="2"/>
  <c r="I404" i="2" s="1"/>
  <c r="I409" i="2"/>
  <c r="I408" i="2" s="1"/>
  <c r="I413" i="2"/>
  <c r="I412" i="2" s="1"/>
  <c r="I417" i="2"/>
  <c r="I416" i="2" s="1"/>
  <c r="I421" i="2"/>
  <c r="I420" i="2" s="1"/>
  <c r="I419" i="2" s="1"/>
  <c r="I425" i="2"/>
  <c r="I424" i="2" s="1"/>
  <c r="I423" i="2" s="1"/>
  <c r="I429" i="2"/>
  <c r="I428" i="2" s="1"/>
  <c r="K15" i="8" l="1"/>
  <c r="K14" i="8"/>
  <c r="K13" i="8"/>
  <c r="K9" i="8"/>
  <c r="K8" i="8"/>
  <c r="I268" i="2"/>
  <c r="I343" i="2"/>
  <c r="I242" i="2"/>
  <c r="I446" i="2"/>
  <c r="I445" i="2" s="1"/>
  <c r="I444" i="2" s="1"/>
  <c r="I298" i="2"/>
  <c r="I282" i="2"/>
  <c r="I63" i="2"/>
  <c r="I62" i="2" s="1"/>
  <c r="I61" i="2" s="1"/>
  <c r="I257" i="2"/>
  <c r="I357" i="2"/>
  <c r="I439" i="2"/>
  <c r="I438" i="2" s="1"/>
  <c r="I437" i="2" s="1"/>
  <c r="O19" i="7"/>
  <c r="Q19" i="7" s="1"/>
  <c r="I11" i="7"/>
  <c r="I10" i="7" s="1"/>
  <c r="O12" i="7"/>
  <c r="Q12" i="7" s="1"/>
  <c r="K9" i="9"/>
  <c r="P9" i="9"/>
  <c r="Q9" i="9" s="1"/>
  <c r="I411" i="2"/>
  <c r="I164" i="2"/>
  <c r="I105" i="2" s="1"/>
  <c r="O17" i="7"/>
  <c r="Q17" i="7" s="1"/>
  <c r="K17" i="7"/>
  <c r="H10" i="8"/>
  <c r="I336" i="2"/>
  <c r="I328" i="2" s="1"/>
  <c r="I324" i="2"/>
  <c r="I233" i="2"/>
  <c r="I221" i="2"/>
  <c r="I201" i="2"/>
  <c r="I191" i="2"/>
  <c r="I102" i="2"/>
  <c r="I98" i="2" s="1"/>
  <c r="I18" i="7"/>
  <c r="I15" i="7" s="1"/>
  <c r="K15" i="7" s="1"/>
  <c r="O20" i="7"/>
  <c r="Q20" i="7" s="1"/>
  <c r="K20" i="7"/>
  <c r="E12" i="8"/>
  <c r="G15" i="8"/>
  <c r="I15" i="8" s="1"/>
  <c r="I393" i="2"/>
  <c r="I37" i="2"/>
  <c r="I26" i="2"/>
  <c r="I9" i="2"/>
  <c r="I372" i="2"/>
  <c r="I369" i="2" s="1"/>
  <c r="I194" i="2"/>
  <c r="K10" i="8" l="1"/>
  <c r="K12" i="8"/>
  <c r="I454" i="2"/>
  <c r="I461" i="2" s="1"/>
  <c r="K11" i="7"/>
  <c r="O11" i="7"/>
  <c r="Q11" i="7" s="1"/>
  <c r="I415" i="2"/>
  <c r="I190" i="2"/>
  <c r="I392" i="2"/>
  <c r="I8" i="2"/>
  <c r="I403" i="2"/>
  <c r="E6" i="8"/>
  <c r="I232" i="2"/>
  <c r="I407" i="2"/>
  <c r="H11" i="8"/>
  <c r="K18" i="7"/>
  <c r="O18" i="7"/>
  <c r="Q18" i="7" s="1"/>
  <c r="I220" i="2"/>
  <c r="K10" i="7"/>
  <c r="O10" i="7"/>
  <c r="Q10" i="7" s="1"/>
  <c r="I427" i="2"/>
  <c r="I9" i="7"/>
  <c r="O15" i="7"/>
  <c r="G7" i="8"/>
  <c r="I25" i="2"/>
  <c r="K6" i="8" l="1"/>
  <c r="K11" i="8"/>
  <c r="I180" i="2"/>
  <c r="I24" i="2" s="1"/>
  <c r="H3" i="8"/>
  <c r="I8" i="7"/>
  <c r="K9" i="7"/>
  <c r="H5" i="8"/>
  <c r="H7" i="8"/>
  <c r="I7" i="8" s="1"/>
  <c r="O9" i="7"/>
  <c r="Q9" i="7" s="1"/>
  <c r="Q15" i="7"/>
  <c r="I368" i="2"/>
  <c r="E7" i="8"/>
  <c r="G14" i="8"/>
  <c r="I14" i="8" s="1"/>
  <c r="G13" i="8"/>
  <c r="I13" i="8" s="1"/>
  <c r="G12" i="8"/>
  <c r="I12" i="8" s="1"/>
  <c r="H376" i="2"/>
  <c r="J376" i="2" s="1"/>
  <c r="H410" i="2"/>
  <c r="J410" i="2" s="1"/>
  <c r="I367" i="2" l="1"/>
  <c r="D7" i="8"/>
  <c r="F7" i="8" s="1"/>
  <c r="G10" i="8"/>
  <c r="I10" i="8" s="1"/>
  <c r="D6" i="8"/>
  <c r="F6" i="8" s="1"/>
  <c r="D8" i="8"/>
  <c r="F8" i="8" s="1"/>
  <c r="D13" i="8"/>
  <c r="F13" i="8" s="1"/>
  <c r="H4" i="8"/>
  <c r="G8" i="8"/>
  <c r="I8" i="8" s="1"/>
  <c r="K7" i="8"/>
  <c r="O8" i="7"/>
  <c r="Q8" i="7" s="1"/>
  <c r="D16" i="8"/>
  <c r="F16" i="8" s="1"/>
  <c r="K8" i="7"/>
  <c r="H383" i="2"/>
  <c r="J383" i="2" s="1"/>
  <c r="H18" i="8" l="1"/>
  <c r="G9" i="8"/>
  <c r="I9" i="8" s="1"/>
  <c r="D15" i="8"/>
  <c r="F15" i="8" s="1"/>
  <c r="D12" i="8"/>
  <c r="F12" i="8" s="1"/>
  <c r="D14" i="8"/>
  <c r="F14" i="8" s="1"/>
  <c r="D9" i="8"/>
  <c r="F9" i="8" s="1"/>
  <c r="I431" i="2"/>
  <c r="D10" i="8"/>
  <c r="F10" i="8" s="1"/>
  <c r="I460" i="2" l="1"/>
  <c r="I462" i="2"/>
  <c r="E5" i="8"/>
  <c r="D11" i="8"/>
  <c r="F11" i="8" s="1"/>
  <c r="G11" i="8" l="1"/>
  <c r="I11" i="8" s="1"/>
  <c r="E3" i="8"/>
  <c r="E4" i="8"/>
  <c r="K5" i="8"/>
  <c r="K3" i="8" l="1"/>
  <c r="K4" i="8"/>
  <c r="E17" i="8"/>
  <c r="H310" i="2"/>
  <c r="K19" i="8" l="1"/>
  <c r="K37" i="8" s="1"/>
  <c r="H309" i="2"/>
  <c r="J309" i="2" s="1"/>
  <c r="J310" i="2"/>
  <c r="H443" i="2"/>
  <c r="J443" i="2" s="1"/>
  <c r="J25" i="8" l="1"/>
  <c r="L25" i="8" s="1"/>
  <c r="H430" i="2" l="1"/>
  <c r="J430" i="2" s="1"/>
  <c r="H425" i="2"/>
  <c r="H418" i="2"/>
  <c r="J418" i="2" s="1"/>
  <c r="H413" i="2"/>
  <c r="H397" i="2"/>
  <c r="J397" i="2" s="1"/>
  <c r="H394" i="2"/>
  <c r="J394" i="2" s="1"/>
  <c r="H384" i="2"/>
  <c r="J384" i="2" s="1"/>
  <c r="H365" i="2"/>
  <c r="H346" i="2"/>
  <c r="J346" i="2" s="1"/>
  <c r="H340" i="2"/>
  <c r="J340" i="2" s="1"/>
  <c r="H331" i="2"/>
  <c r="J331" i="2" s="1"/>
  <c r="H325" i="2"/>
  <c r="J325" i="2" s="1"/>
  <c r="H320" i="2"/>
  <c r="J320" i="2" l="1"/>
  <c r="H412" i="2"/>
  <c r="J412" i="2" s="1"/>
  <c r="J413" i="2"/>
  <c r="H424" i="2"/>
  <c r="J424" i="2" s="1"/>
  <c r="J425" i="2"/>
  <c r="H364" i="2"/>
  <c r="J364" i="2" s="1"/>
  <c r="J365" i="2"/>
  <c r="H319" i="2"/>
  <c r="J319" i="2" s="1"/>
  <c r="H316" i="2"/>
  <c r="J316" i="2" s="1"/>
  <c r="H305" i="2"/>
  <c r="J305" i="2" s="1"/>
  <c r="H304" i="2"/>
  <c r="J304" i="2" s="1"/>
  <c r="H301" i="2"/>
  <c r="J301" i="2" s="1"/>
  <c r="H291" i="2"/>
  <c r="J291" i="2" s="1"/>
  <c r="H288" i="2"/>
  <c r="J288" i="2" s="1"/>
  <c r="H285" i="2"/>
  <c r="J285" i="2" s="1"/>
  <c r="H279" i="2"/>
  <c r="J279" i="2" s="1"/>
  <c r="H274" i="2"/>
  <c r="J274" i="2" s="1"/>
  <c r="H271" i="2"/>
  <c r="J271" i="2" s="1"/>
  <c r="H266" i="2"/>
  <c r="H264" i="2"/>
  <c r="J264" i="2" s="1"/>
  <c r="H263" i="2"/>
  <c r="J263" i="2" s="1"/>
  <c r="H254" i="2"/>
  <c r="J254" i="2" s="1"/>
  <c r="H245" i="2"/>
  <c r="J245" i="2" s="1"/>
  <c r="H113" i="2"/>
  <c r="H103" i="2"/>
  <c r="H90" i="2"/>
  <c r="J90" i="2" s="1"/>
  <c r="H97" i="2"/>
  <c r="H96" i="2" s="1"/>
  <c r="H87" i="2"/>
  <c r="J87" i="2" s="1"/>
  <c r="H82" i="2"/>
  <c r="H72" i="2"/>
  <c r="J72" i="2" s="1"/>
  <c r="H60" i="2"/>
  <c r="J60" i="2" s="1"/>
  <c r="H318" i="2" l="1"/>
  <c r="J97" i="2"/>
  <c r="J82" i="2"/>
  <c r="H76" i="2"/>
  <c r="H411" i="2"/>
  <c r="J411" i="2" s="1"/>
  <c r="H265" i="2"/>
  <c r="J265" i="2" s="1"/>
  <c r="J266" i="2"/>
  <c r="H102" i="2"/>
  <c r="J102" i="2" s="1"/>
  <c r="J103" i="2"/>
  <c r="H112" i="2"/>
  <c r="J112" i="2" s="1"/>
  <c r="J113" i="2"/>
  <c r="J240" i="2"/>
  <c r="J96" i="2" l="1"/>
  <c r="H387" i="2"/>
  <c r="J387" i="2" s="1"/>
  <c r="H43" i="2"/>
  <c r="J43" i="2" s="1"/>
  <c r="H405" i="2" l="1"/>
  <c r="H401" i="2"/>
  <c r="J401" i="2" s="1"/>
  <c r="H385" i="2"/>
  <c r="J385" i="2" s="1"/>
  <c r="H375" i="2"/>
  <c r="J375" i="2" s="1"/>
  <c r="J405" i="2" l="1"/>
  <c r="H404" i="2"/>
  <c r="H453" i="2"/>
  <c r="H27" i="2"/>
  <c r="J27" i="2" s="1"/>
  <c r="H450" i="2" l="1"/>
  <c r="J450" i="2" s="1"/>
  <c r="J453" i="2"/>
  <c r="H429" i="2" l="1"/>
  <c r="H417" i="2"/>
  <c r="H409" i="2"/>
  <c r="H400" i="2"/>
  <c r="H396" i="2"/>
  <c r="J396" i="2" s="1"/>
  <c r="H348" i="2"/>
  <c r="J348" i="2" s="1"/>
  <c r="H333" i="2"/>
  <c r="J333" i="2" s="1"/>
  <c r="J318" i="2"/>
  <c r="H303" i="2"/>
  <c r="J303" i="2" s="1"/>
  <c r="H287" i="2"/>
  <c r="J287" i="2" s="1"/>
  <c r="J429" i="2" l="1"/>
  <c r="H428" i="2"/>
  <c r="J417" i="2"/>
  <c r="H416" i="2"/>
  <c r="J409" i="2"/>
  <c r="H408" i="2"/>
  <c r="H399" i="2"/>
  <c r="J400" i="2"/>
  <c r="H393" i="2"/>
  <c r="H262" i="2"/>
  <c r="J262" i="2" s="1"/>
  <c r="H247" i="2"/>
  <c r="J247" i="2" s="1"/>
  <c r="H149" i="2"/>
  <c r="J149" i="2" s="1"/>
  <c r="H392" i="2" l="1"/>
  <c r="J392" i="2" s="1"/>
  <c r="J393" i="2"/>
  <c r="H398" i="2"/>
  <c r="J398" i="2" s="1"/>
  <c r="J399" i="2"/>
  <c r="H370" i="2"/>
  <c r="J370" i="2" s="1"/>
  <c r="H12" i="2" l="1"/>
  <c r="J12" i="2" s="1"/>
  <c r="J30" i="8"/>
  <c r="L30" i="8" s="1"/>
  <c r="J28" i="8" l="1"/>
  <c r="L28" i="8" s="1"/>
  <c r="J23" i="8"/>
  <c r="L23" i="8" s="1"/>
  <c r="H56" i="2"/>
  <c r="J56" i="2" s="1"/>
  <c r="H55" i="2"/>
  <c r="J55" i="2" s="1"/>
  <c r="H382" i="2" l="1"/>
  <c r="J382" i="2" s="1"/>
  <c r="H374" i="2"/>
  <c r="H239" i="2"/>
  <c r="J239" i="2" s="1"/>
  <c r="H227" i="2"/>
  <c r="J227" i="2" s="1"/>
  <c r="H200" i="2"/>
  <c r="J200" i="2" s="1"/>
  <c r="H67" i="2"/>
  <c r="J67" i="2" s="1"/>
  <c r="H53" i="2"/>
  <c r="J53" i="2" s="1"/>
  <c r="H373" i="2" l="1"/>
  <c r="J373" i="2" s="1"/>
  <c r="J374" i="2"/>
  <c r="H261" i="2" l="1"/>
  <c r="J261" i="2" s="1"/>
  <c r="B23" i="8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J32" i="8"/>
  <c r="H442" i="2"/>
  <c r="J442" i="2" s="1"/>
  <c r="H21" i="2"/>
  <c r="H39" i="2"/>
  <c r="H52" i="2"/>
  <c r="J27" i="8"/>
  <c r="H64" i="2"/>
  <c r="J64" i="2" s="1"/>
  <c r="H33" i="2"/>
  <c r="H302" i="2"/>
  <c r="J302" i="2" s="1"/>
  <c r="H296" i="2"/>
  <c r="H278" i="2"/>
  <c r="J278" i="2" s="1"/>
  <c r="H253" i="2"/>
  <c r="J253" i="2" s="1"/>
  <c r="H246" i="2"/>
  <c r="J246" i="2" s="1"/>
  <c r="H203" i="2"/>
  <c r="H206" i="2"/>
  <c r="H196" i="2"/>
  <c r="H199" i="2"/>
  <c r="H186" i="2"/>
  <c r="H182" i="2"/>
  <c r="H178" i="2"/>
  <c r="H154" i="2"/>
  <c r="H174" i="2"/>
  <c r="H166" i="2"/>
  <c r="H162" i="2"/>
  <c r="H158" i="2"/>
  <c r="H148" i="2"/>
  <c r="H145" i="2"/>
  <c r="H141" i="2"/>
  <c r="H137" i="2"/>
  <c r="H133" i="2"/>
  <c r="H129" i="2"/>
  <c r="H125" i="2"/>
  <c r="H121" i="2"/>
  <c r="H117" i="2"/>
  <c r="H110" i="2"/>
  <c r="H107" i="2"/>
  <c r="B438" i="2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H276" i="2"/>
  <c r="H273" i="2"/>
  <c r="H270" i="2"/>
  <c r="H259" i="2"/>
  <c r="H251" i="2"/>
  <c r="H244" i="2"/>
  <c r="H234" i="2"/>
  <c r="H230" i="2"/>
  <c r="H226" i="2"/>
  <c r="H222" i="2"/>
  <c r="H218" i="2"/>
  <c r="H211" i="2"/>
  <c r="H192" i="2"/>
  <c r="H170" i="2"/>
  <c r="H286" i="2"/>
  <c r="J286" i="2" s="1"/>
  <c r="H300" i="2"/>
  <c r="H307" i="2"/>
  <c r="H315" i="2"/>
  <c r="H317" i="2"/>
  <c r="J317" i="2" s="1"/>
  <c r="H322" i="2"/>
  <c r="H324" i="2"/>
  <c r="J324" i="2" s="1"/>
  <c r="H330" i="2"/>
  <c r="H332" i="2"/>
  <c r="J332" i="2" s="1"/>
  <c r="H337" i="2"/>
  <c r="H345" i="2"/>
  <c r="H347" i="2"/>
  <c r="J347" i="2" s="1"/>
  <c r="H355" i="2"/>
  <c r="J404" i="2"/>
  <c r="H421" i="2"/>
  <c r="H420" i="2" s="1"/>
  <c r="H419" i="2" s="1"/>
  <c r="H423" i="2"/>
  <c r="J423" i="2" s="1"/>
  <c r="H14" i="2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H449" i="2"/>
  <c r="J449" i="2" s="1"/>
  <c r="H447" i="2"/>
  <c r="J447" i="2" s="1"/>
  <c r="H440" i="2"/>
  <c r="J440" i="2" s="1"/>
  <c r="H362" i="2"/>
  <c r="H352" i="2"/>
  <c r="H339" i="2"/>
  <c r="J339" i="2" s="1"/>
  <c r="H293" i="2"/>
  <c r="H100" i="2"/>
  <c r="H59" i="2"/>
  <c r="H50" i="2"/>
  <c r="H47" i="2"/>
  <c r="J47" i="2" s="1"/>
  <c r="H41" i="2"/>
  <c r="J41" i="2" s="1"/>
  <c r="H11" i="2"/>
  <c r="H284" i="2"/>
  <c r="H359" i="2"/>
  <c r="H372" i="2"/>
  <c r="J372" i="2" s="1"/>
  <c r="J52" i="2" l="1"/>
  <c r="H292" i="2"/>
  <c r="J292" i="2" s="1"/>
  <c r="J293" i="2"/>
  <c r="H13" i="2"/>
  <c r="J13" i="2" s="1"/>
  <c r="J14" i="2"/>
  <c r="H344" i="2"/>
  <c r="J344" i="2" s="1"/>
  <c r="J345" i="2"/>
  <c r="H306" i="2"/>
  <c r="J306" i="2" s="1"/>
  <c r="J307" i="2"/>
  <c r="H191" i="2"/>
  <c r="J192" i="2"/>
  <c r="H225" i="2"/>
  <c r="J226" i="2"/>
  <c r="H250" i="2"/>
  <c r="J250" i="2" s="1"/>
  <c r="J251" i="2"/>
  <c r="H275" i="2"/>
  <c r="J275" i="2" s="1"/>
  <c r="J276" i="2"/>
  <c r="H116" i="2"/>
  <c r="J117" i="2"/>
  <c r="H132" i="2"/>
  <c r="J133" i="2"/>
  <c r="H147" i="2"/>
  <c r="J147" i="2" s="1"/>
  <c r="J148" i="2"/>
  <c r="H173" i="2"/>
  <c r="J174" i="2"/>
  <c r="H185" i="2"/>
  <c r="J186" i="2"/>
  <c r="H202" i="2"/>
  <c r="J202" i="2" s="1"/>
  <c r="J203" i="2"/>
  <c r="H295" i="2"/>
  <c r="J295" i="2" s="1"/>
  <c r="J296" i="2"/>
  <c r="H75" i="2"/>
  <c r="H73" i="2" s="1"/>
  <c r="J76" i="2"/>
  <c r="H38" i="2"/>
  <c r="J38" i="2" s="1"/>
  <c r="J39" i="2"/>
  <c r="H283" i="2"/>
  <c r="J283" i="2" s="1"/>
  <c r="J284" i="2"/>
  <c r="H336" i="2"/>
  <c r="J336" i="2" s="1"/>
  <c r="J337" i="2"/>
  <c r="H321" i="2"/>
  <c r="J321" i="2" s="1"/>
  <c r="J322" i="2"/>
  <c r="H299" i="2"/>
  <c r="J299" i="2" s="1"/>
  <c r="J300" i="2"/>
  <c r="H210" i="2"/>
  <c r="J211" i="2"/>
  <c r="H229" i="2"/>
  <c r="J230" i="2"/>
  <c r="H258" i="2"/>
  <c r="J258" i="2" s="1"/>
  <c r="J259" i="2"/>
  <c r="H120" i="2"/>
  <c r="J121" i="2"/>
  <c r="H136" i="2"/>
  <c r="J137" i="2"/>
  <c r="H157" i="2"/>
  <c r="J158" i="2"/>
  <c r="H153" i="2"/>
  <c r="J154" i="2"/>
  <c r="H198" i="2"/>
  <c r="J198" i="2" s="1"/>
  <c r="J199" i="2"/>
  <c r="H19" i="2"/>
  <c r="J21" i="2"/>
  <c r="H99" i="2"/>
  <c r="J99" i="2" s="1"/>
  <c r="J100" i="2"/>
  <c r="H361" i="2"/>
  <c r="J361" i="2" s="1"/>
  <c r="J362" i="2"/>
  <c r="H49" i="2"/>
  <c r="J49" i="2" s="1"/>
  <c r="J50" i="2"/>
  <c r="H358" i="2"/>
  <c r="J358" i="2" s="1"/>
  <c r="J359" i="2"/>
  <c r="H10" i="2"/>
  <c r="J10" i="2" s="1"/>
  <c r="J11" i="2"/>
  <c r="H58" i="2"/>
  <c r="J59" i="2"/>
  <c r="H351" i="2"/>
  <c r="J351" i="2" s="1"/>
  <c r="J352" i="2"/>
  <c r="H354" i="2"/>
  <c r="J354" i="2" s="1"/>
  <c r="J355" i="2"/>
  <c r="H217" i="2"/>
  <c r="J218" i="2"/>
  <c r="H233" i="2"/>
  <c r="J234" i="2"/>
  <c r="H269" i="2"/>
  <c r="J269" i="2" s="1"/>
  <c r="J270" i="2"/>
  <c r="H106" i="2"/>
  <c r="J106" i="2" s="1"/>
  <c r="J107" i="2"/>
  <c r="H124" i="2"/>
  <c r="J125" i="2"/>
  <c r="H140" i="2"/>
  <c r="J141" i="2"/>
  <c r="H161" i="2"/>
  <c r="J162" i="2"/>
  <c r="H177" i="2"/>
  <c r="J178" i="2"/>
  <c r="H195" i="2"/>
  <c r="J195" i="2" s="1"/>
  <c r="J196" i="2"/>
  <c r="H31" i="2"/>
  <c r="J33" i="2"/>
  <c r="H329" i="2"/>
  <c r="J329" i="2" s="1"/>
  <c r="J330" i="2"/>
  <c r="H314" i="2"/>
  <c r="J314" i="2" s="1"/>
  <c r="J315" i="2"/>
  <c r="H169" i="2"/>
  <c r="J170" i="2"/>
  <c r="H221" i="2"/>
  <c r="J222" i="2"/>
  <c r="H243" i="2"/>
  <c r="J243" i="2" s="1"/>
  <c r="J244" i="2"/>
  <c r="H272" i="2"/>
  <c r="J272" i="2" s="1"/>
  <c r="J273" i="2"/>
  <c r="H109" i="2"/>
  <c r="J109" i="2" s="1"/>
  <c r="J110" i="2"/>
  <c r="H128" i="2"/>
  <c r="J129" i="2"/>
  <c r="H144" i="2"/>
  <c r="J145" i="2"/>
  <c r="H165" i="2"/>
  <c r="J166" i="2"/>
  <c r="H181" i="2"/>
  <c r="J181" i="2" s="1"/>
  <c r="J182" i="2"/>
  <c r="H205" i="2"/>
  <c r="J205" i="2" s="1"/>
  <c r="J206" i="2"/>
  <c r="J22" i="8"/>
  <c r="L22" i="8" s="1"/>
  <c r="L27" i="8"/>
  <c r="J31" i="8"/>
  <c r="L32" i="8"/>
  <c r="B20" i="2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H403" i="2"/>
  <c r="J403" i="2" s="1"/>
  <c r="B35" i="8"/>
  <c r="B36" i="8" s="1"/>
  <c r="B37" i="8" s="1"/>
  <c r="H369" i="2"/>
  <c r="H63" i="2"/>
  <c r="H446" i="2"/>
  <c r="H439" i="2"/>
  <c r="H37" i="2" l="1"/>
  <c r="H194" i="2"/>
  <c r="J194" i="2" s="1"/>
  <c r="H328" i="2"/>
  <c r="J328" i="2" s="1"/>
  <c r="H313" i="2"/>
  <c r="H268" i="2"/>
  <c r="J268" i="2" s="1"/>
  <c r="H282" i="2"/>
  <c r="J282" i="2" s="1"/>
  <c r="H357" i="2"/>
  <c r="J357" i="2" s="1"/>
  <c r="H201" i="2"/>
  <c r="J201" i="2" s="1"/>
  <c r="J37" i="2"/>
  <c r="H164" i="2"/>
  <c r="J164" i="2" s="1"/>
  <c r="J165" i="2"/>
  <c r="H127" i="2"/>
  <c r="J127" i="2" s="1"/>
  <c r="J128" i="2"/>
  <c r="H168" i="2"/>
  <c r="J168" i="2" s="1"/>
  <c r="J169" i="2"/>
  <c r="H29" i="2"/>
  <c r="J31" i="2"/>
  <c r="H176" i="2"/>
  <c r="J176" i="2" s="1"/>
  <c r="J177" i="2"/>
  <c r="H139" i="2"/>
  <c r="J139" i="2" s="1"/>
  <c r="J140" i="2"/>
  <c r="H232" i="2"/>
  <c r="J232" i="2" s="1"/>
  <c r="J233" i="2"/>
  <c r="H57" i="2"/>
  <c r="J58" i="2"/>
  <c r="H119" i="2"/>
  <c r="J119" i="2" s="1"/>
  <c r="J120" i="2"/>
  <c r="H242" i="2"/>
  <c r="J242" i="2" s="1"/>
  <c r="H298" i="2"/>
  <c r="H62" i="2"/>
  <c r="H61" i="2" s="1"/>
  <c r="J63" i="2"/>
  <c r="H368" i="2"/>
  <c r="J368" i="2" s="1"/>
  <c r="J369" i="2"/>
  <c r="H427" i="2"/>
  <c r="J428" i="2"/>
  <c r="H257" i="2"/>
  <c r="J257" i="2" s="1"/>
  <c r="H160" i="2"/>
  <c r="J160" i="2" s="1"/>
  <c r="J161" i="2"/>
  <c r="H152" i="2"/>
  <c r="J152" i="2" s="1"/>
  <c r="J153" i="2"/>
  <c r="H135" i="2"/>
  <c r="J135" i="2" s="1"/>
  <c r="J136" i="2"/>
  <c r="H228" i="2"/>
  <c r="J228" i="2" s="1"/>
  <c r="J229" i="2"/>
  <c r="H184" i="2"/>
  <c r="J184" i="2" s="1"/>
  <c r="J185" i="2"/>
  <c r="H115" i="2"/>
  <c r="J116" i="2"/>
  <c r="H224" i="2"/>
  <c r="J224" i="2" s="1"/>
  <c r="J225" i="2"/>
  <c r="H445" i="2"/>
  <c r="J445" i="2" s="1"/>
  <c r="J446" i="2"/>
  <c r="H407" i="2"/>
  <c r="J407" i="2" s="1"/>
  <c r="J408" i="2"/>
  <c r="H143" i="2"/>
  <c r="J143" i="2" s="1"/>
  <c r="J144" i="2"/>
  <c r="H220" i="2"/>
  <c r="J220" i="2" s="1"/>
  <c r="J221" i="2"/>
  <c r="H123" i="2"/>
  <c r="J123" i="2" s="1"/>
  <c r="J124" i="2"/>
  <c r="H213" i="2"/>
  <c r="J213" i="2" s="1"/>
  <c r="J217" i="2"/>
  <c r="H18" i="2"/>
  <c r="J19" i="2"/>
  <c r="H438" i="2"/>
  <c r="J439" i="2"/>
  <c r="H343" i="2"/>
  <c r="J343" i="2" s="1"/>
  <c r="H98" i="2"/>
  <c r="H415" i="2"/>
  <c r="J415" i="2" s="1"/>
  <c r="J416" i="2"/>
  <c r="H156" i="2"/>
  <c r="J156" i="2" s="1"/>
  <c r="J157" i="2"/>
  <c r="H209" i="2"/>
  <c r="J209" i="2" s="1"/>
  <c r="J210" i="2"/>
  <c r="J73" i="2"/>
  <c r="J75" i="2"/>
  <c r="H172" i="2"/>
  <c r="J172" i="2" s="1"/>
  <c r="J173" i="2"/>
  <c r="H131" i="2"/>
  <c r="J131" i="2" s="1"/>
  <c r="J132" i="2"/>
  <c r="H190" i="2"/>
  <c r="J190" i="2" s="1"/>
  <c r="J191" i="2"/>
  <c r="B73" i="2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J427" i="2" l="1"/>
  <c r="H367" i="2"/>
  <c r="J313" i="2"/>
  <c r="H444" i="2"/>
  <c r="J444" i="2" s="1"/>
  <c r="H180" i="2"/>
  <c r="J367" i="2"/>
  <c r="J98" i="2"/>
  <c r="J18" i="2"/>
  <c r="H9" i="2"/>
  <c r="J115" i="2"/>
  <c r="H105" i="2"/>
  <c r="J62" i="2"/>
  <c r="H437" i="2"/>
  <c r="J438" i="2"/>
  <c r="J298" i="2"/>
  <c r="J57" i="2"/>
  <c r="H26" i="2"/>
  <c r="H25" i="2" s="1"/>
  <c r="J29" i="2"/>
  <c r="J16" i="8"/>
  <c r="L16" i="8" s="1"/>
  <c r="J437" i="2" l="1"/>
  <c r="J180" i="2"/>
  <c r="G5" i="8"/>
  <c r="I5" i="8" s="1"/>
  <c r="J26" i="2"/>
  <c r="H24" i="2"/>
  <c r="H8" i="2"/>
  <c r="J8" i="2" s="1"/>
  <c r="J9" i="2"/>
  <c r="J61" i="2"/>
  <c r="J105" i="2"/>
  <c r="H454" i="2"/>
  <c r="B104" i="2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J13" i="8"/>
  <c r="L13" i="8" s="1"/>
  <c r="B208" i="2" l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H431" i="2"/>
  <c r="J24" i="2"/>
  <c r="J25" i="2"/>
  <c r="J454" i="2"/>
  <c r="H461" i="2"/>
  <c r="J461" i="2" s="1"/>
  <c r="G3" i="8"/>
  <c r="I3" i="8" s="1"/>
  <c r="J6" i="8"/>
  <c r="L6" i="8" s="1"/>
  <c r="J8" i="8"/>
  <c r="L8" i="8" s="1"/>
  <c r="B230" i="2" l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D5" i="8"/>
  <c r="H462" i="2"/>
  <c r="J462" i="2" s="1"/>
  <c r="J431" i="2"/>
  <c r="H460" i="2"/>
  <c r="J15" i="8"/>
  <c r="L15" i="8" s="1"/>
  <c r="J9" i="8"/>
  <c r="L9" i="8" s="1"/>
  <c r="J10" i="8"/>
  <c r="L10" i="8" s="1"/>
  <c r="J7" i="8"/>
  <c r="L7" i="8" s="1"/>
  <c r="J11" i="8"/>
  <c r="L11" i="8" s="1"/>
  <c r="J5" i="8" l="1"/>
  <c r="L5" i="8" s="1"/>
  <c r="F5" i="8"/>
  <c r="B292" i="2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D3" i="8"/>
  <c r="J460" i="2"/>
  <c r="J3" i="8" l="1"/>
  <c r="L3" i="8" s="1"/>
  <c r="F3" i="8"/>
  <c r="B304" i="2"/>
  <c r="B305" i="2" s="1"/>
  <c r="B306" i="2" s="1"/>
  <c r="B307" i="2" s="1"/>
  <c r="B308" i="2" s="1"/>
  <c r="B309" i="2" s="1"/>
  <c r="B310" i="2" s="1"/>
  <c r="B311" i="2" s="1"/>
  <c r="B312" i="2" s="1"/>
  <c r="B313" i="2" l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l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J14" i="8" l="1"/>
  <c r="L14" i="8" s="1"/>
  <c r="D4" i="8"/>
  <c r="F4" i="8" s="1"/>
  <c r="D17" i="8" l="1"/>
  <c r="F17" i="8" s="1"/>
  <c r="G4" i="8" l="1"/>
  <c r="I4" i="8" s="1"/>
  <c r="J12" i="8"/>
  <c r="L12" i="8" s="1"/>
  <c r="J4" i="8" l="1"/>
  <c r="G18" i="8"/>
  <c r="I18" i="8" s="1"/>
  <c r="J19" i="8" l="1"/>
  <c r="J37" i="8" s="1"/>
  <c r="L4" i="8"/>
</calcChain>
</file>

<file path=xl/sharedStrings.xml><?xml version="1.0" encoding="utf-8"?>
<sst xmlns="http://schemas.openxmlformats.org/spreadsheetml/2006/main" count="3703" uniqueCount="775">
  <si>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</si>
  <si>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</si>
  <si>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</si>
  <si>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</si>
  <si>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</si>
  <si>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</si>
  <si>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</si>
  <si>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</si>
  <si>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</si>
  <si>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</si>
  <si>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</si>
  <si>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</si>
  <si>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</si>
  <si>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</si>
  <si>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Kamerový systém mesta</t>
  </si>
  <si>
    <t>0422</t>
  </si>
  <si>
    <t>Výkon funkcie zástupcu primátora</t>
  </si>
  <si>
    <t>Výkon funkcie prednostu</t>
  </si>
  <si>
    <t>Čaro Vianoc pod hradom</t>
  </si>
  <si>
    <t>Dotácia KC Aktivity, o.z.</t>
  </si>
  <si>
    <t>Dotácia KC Stred, o.z.</t>
  </si>
  <si>
    <t>Príjmy z podnikania a z vlastníctva majetku</t>
  </si>
  <si>
    <t>Príjmy z vlastníctva</t>
  </si>
  <si>
    <t>Z prenajatých budov, priestorov a objektov</t>
  </si>
  <si>
    <t>Príležitostné menšie podujatia</t>
  </si>
  <si>
    <t>Poplatky a platby z nepriemyselného a náhodného predaja a služieb</t>
  </si>
  <si>
    <t>Za predaj výrobkov, tovarov a služieb</t>
  </si>
  <si>
    <t>Zneškodňovanie odpadu</t>
  </si>
  <si>
    <t>Manažérstvo kvality</t>
  </si>
  <si>
    <t>Autobusová doprava SAD Trenčín</t>
  </si>
  <si>
    <t>0560</t>
  </si>
  <si>
    <t>Ochrana prostredie pre život</t>
  </si>
  <si>
    <t>0473</t>
  </si>
  <si>
    <t>Cestovný ruch</t>
  </si>
  <si>
    <t>0112</t>
  </si>
  <si>
    <t>Daň. a rozp.agenda mesta a účtov.</t>
  </si>
  <si>
    <t>Autodoprava</t>
  </si>
  <si>
    <t>Mobilná ľadová plocha</t>
  </si>
  <si>
    <t>Ostatné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</si>
  <si>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</si>
  <si>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</si>
  <si>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</si>
  <si>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</si>
  <si>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</si>
  <si>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</si>
  <si>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</si>
  <si>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</si>
  <si>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</si>
  <si>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</si>
  <si>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</si>
  <si>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</si>
  <si>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</si>
  <si>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</si>
  <si>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</si>
  <si>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</si>
  <si>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</si>
  <si>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</si>
  <si>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</si>
  <si>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</si>
  <si>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Mobiliár mesta a detské ihrisko</t>
  </si>
  <si>
    <t>Tuzemské kapitálové granty a transfery</t>
  </si>
  <si>
    <t>Zo štátneho rozpočtu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</si>
  <si>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</si>
  <si>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</si>
  <si>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</si>
  <si>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</si>
  <si>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</si>
  <si>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</si>
  <si>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</si>
  <si>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</si>
  <si>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</si>
  <si>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</si>
  <si>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</si>
  <si>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</si>
  <si>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</si>
  <si>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</si>
  <si>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</si>
  <si>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</si>
  <si>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Farmárske jarmoky</t>
  </si>
  <si>
    <t>Europrojekty</t>
  </si>
  <si>
    <t>09602</t>
  </si>
  <si>
    <t>ZŠ Bezručova 66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</si>
  <si>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</si>
  <si>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</si>
  <si>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</si>
  <si>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</si>
  <si>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</si>
  <si>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</si>
  <si>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</si>
  <si>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</si>
  <si>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</si>
  <si>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</si>
  <si>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</si>
  <si>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</si>
  <si>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</si>
  <si>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</si>
  <si>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</si>
  <si>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</si>
  <si>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</si>
  <si>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</si>
  <si>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</si>
  <si>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</si>
  <si>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</si>
  <si>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</si>
  <si>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</si>
  <si>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</si>
  <si>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</si>
  <si>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</si>
  <si>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</si>
  <si>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Príjmy</t>
  </si>
  <si>
    <t>F I N A N Č N É   O P E R Á C I E</t>
  </si>
  <si>
    <t xml:space="preserve"> </t>
  </si>
  <si>
    <t>Výdavky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</si>
  <si>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</si>
  <si>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</si>
  <si>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</si>
  <si>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</si>
  <si>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</si>
  <si>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</si>
  <si>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</si>
  <si>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</si>
  <si>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</si>
  <si>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</si>
  <si>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</si>
  <si>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</si>
  <si>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</si>
  <si>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</si>
  <si>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</si>
  <si>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</si>
  <si>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</si>
  <si>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</si>
  <si>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</si>
  <si>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</si>
  <si>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</si>
  <si>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</si>
  <si>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</si>
  <si>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</si>
  <si>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</si>
  <si>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</si>
  <si>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</si>
  <si>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</si>
  <si>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</si>
  <si>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Artkino Metro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</si>
  <si>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</si>
  <si>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</si>
  <si>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</si>
  <si>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</si>
  <si>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</si>
  <si>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</si>
  <si>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</si>
  <si>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</si>
  <si>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</si>
  <si>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</si>
  <si>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</si>
  <si>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</si>
  <si>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</si>
  <si>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</si>
  <si>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</si>
  <si>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</si>
  <si>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</si>
  <si>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</si>
  <si>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</si>
  <si>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</si>
  <si>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</si>
  <si>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</si>
  <si>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</si>
  <si>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</si>
  <si>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ŠKD - ZŠ Futurum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</si>
  <si>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</si>
  <si>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</si>
  <si>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</si>
  <si>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</si>
  <si>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</si>
  <si>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</si>
  <si>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</si>
  <si>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</si>
  <si>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</si>
  <si>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</si>
  <si>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</si>
  <si>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</si>
  <si>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Rodinné prídavky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</si>
  <si>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</si>
  <si>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</si>
  <si>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</si>
  <si>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</si>
  <si>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</si>
  <si>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</si>
  <si>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</si>
  <si>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</si>
  <si>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</si>
  <si>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</si>
  <si>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</si>
  <si>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</si>
  <si>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</si>
  <si>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</si>
  <si>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</si>
  <si>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</si>
  <si>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</si>
  <si>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</si>
  <si>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</si>
  <si>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</si>
  <si>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</si>
  <si>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</si>
  <si>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Bazovského galéria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</si>
  <si>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</si>
  <si>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</si>
  <si>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</si>
  <si>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</si>
  <si>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</si>
  <si>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</si>
  <si>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</si>
  <si>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</si>
  <si>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</si>
  <si>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</si>
  <si>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</si>
  <si>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</si>
  <si>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</si>
  <si>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</si>
  <si>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</si>
  <si>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</si>
  <si>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</si>
  <si>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</si>
  <si>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</si>
  <si>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</si>
  <si>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</si>
  <si>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</si>
  <si>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</si>
  <si>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</si>
  <si>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</si>
  <si>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poplatky cudzí stravníci</t>
  </si>
  <si>
    <t>Réžia cudzí stravníci</t>
  </si>
  <si>
    <t>Členstvo v samosp. org. a združ.</t>
  </si>
  <si>
    <t>Kultúrne leto</t>
  </si>
  <si>
    <t>Grantový program</t>
  </si>
  <si>
    <t>Terénna opatr. služba SSMT</t>
  </si>
  <si>
    <t>1070</t>
  </si>
  <si>
    <t>JDSP</t>
  </si>
  <si>
    <t>Farebná veža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</si>
  <si>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</si>
  <si>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</si>
  <si>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</si>
  <si>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</si>
  <si>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</si>
  <si>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</si>
  <si>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Trenčiansky majáles</t>
  </si>
  <si>
    <t>MDD</t>
  </si>
  <si>
    <t>Zariadenie pre seniorov</t>
  </si>
  <si>
    <t>ŠJ ZŠ FUTURUM</t>
  </si>
  <si>
    <t>MŠ Slimáčik</t>
  </si>
  <si>
    <t>09122</t>
  </si>
  <si>
    <t>MŠ Opatovská</t>
  </si>
  <si>
    <t>1090</t>
  </si>
  <si>
    <t>Príspevky neštátnym subjektom</t>
  </si>
  <si>
    <t>Karanténna stanica</t>
  </si>
  <si>
    <t>ZŠ Východná 9</t>
  </si>
  <si>
    <t>ZŠ Na dolinách</t>
  </si>
  <si>
    <t>Mestské hospodárstvo a správa lesov, m.r.o</t>
  </si>
  <si>
    <t>Fontány</t>
  </si>
  <si>
    <t>Verejné toalety</t>
  </si>
  <si>
    <t>Stredisko Soblahov</t>
  </si>
  <si>
    <t>Krytá plaváreň</t>
  </si>
  <si>
    <t>Kožušnícka 2</t>
  </si>
  <si>
    <t>Kasárenská</t>
  </si>
  <si>
    <t>Stredisko Brezina</t>
  </si>
  <si>
    <t>ZUŠ Karola Pádivého</t>
  </si>
  <si>
    <t>Sociálne služby mesta Trenčín, m.r.o.</t>
  </si>
  <si>
    <t>Prepravná služba</t>
  </si>
  <si>
    <t>príjem za DJ</t>
  </si>
  <si>
    <t>MŠ Šafáriková 11</t>
  </si>
  <si>
    <t>09211</t>
  </si>
  <si>
    <t>09603</t>
  </si>
  <si>
    <t>ZŠ Veľkomoravská 12</t>
  </si>
  <si>
    <t>ZŠ L. Novomeského 11</t>
  </si>
  <si>
    <t>ZŠ Kubranská</t>
  </si>
  <si>
    <t>Réžia zamestnanci ZŠ</t>
  </si>
  <si>
    <t>Réžia zamestnanci ŠJ</t>
  </si>
  <si>
    <t>0980</t>
  </si>
  <si>
    <t>TJ Družstevník Opatová - energie</t>
  </si>
  <si>
    <t>Miestne médiá</t>
  </si>
  <si>
    <t>PROGRAM   1: MANAŽMENT a PLÁNOVANIE</t>
  </si>
  <si>
    <t>R O Z P O Č E T    2016</t>
  </si>
  <si>
    <t>Mesto Trenčín</t>
  </si>
  <si>
    <t>PROGRAM   2: PROPAGÁCIA A CESTOVNÝ RUCH</t>
  </si>
  <si>
    <t>PROGRAM   3: INTERNÉ SLUŽBY MESTA</t>
  </si>
  <si>
    <t>Bežné príjmy</t>
  </si>
  <si>
    <t>Kapitálové príjmy spolu</t>
  </si>
  <si>
    <t>PRÍJMY Spolu</t>
  </si>
  <si>
    <t>Rozvoz stravy</t>
  </si>
  <si>
    <t>MŠ Motýlik</t>
  </si>
  <si>
    <t>MŠ Best Friends Kids Club</t>
  </si>
  <si>
    <t>MŠ Bl.Tarzícia</t>
  </si>
  <si>
    <t>ŠJ pri ZŠ AUTIS</t>
  </si>
  <si>
    <t>ŠKD - pri ZŠ AUTIS</t>
  </si>
  <si>
    <t>Program   1: MANAŽMENT a PLÁNOVANIE</t>
  </si>
  <si>
    <t>Program   2: PROPAGÁCIA A CESTOVNÝ RUCH</t>
  </si>
  <si>
    <t>Program   3: INTERNÉ SLUŽBY MESTA</t>
  </si>
  <si>
    <t>PROGRAM   4: SLUŽBY OBČANOM</t>
  </si>
  <si>
    <t>Program   4: SLUŽBY OBČANOM</t>
  </si>
  <si>
    <t>PROGRAM   5: Bezpečnosť</t>
  </si>
  <si>
    <t>Program   5: Bezpečnosť</t>
  </si>
  <si>
    <t>PROGRAM   6: DOPRAVA</t>
  </si>
  <si>
    <t>Program   6: DOPRAVA</t>
  </si>
  <si>
    <t>PROGRAM   7: Vzdelávanie</t>
  </si>
  <si>
    <t>Program   7: Vzdelávanie</t>
  </si>
  <si>
    <t>PROGRAM   9: KULTÚRA</t>
  </si>
  <si>
    <t>Program   9: KULTÚRA</t>
  </si>
  <si>
    <t>PROGRAM  10: ŽIVOTNÉ PROSTREDIE</t>
  </si>
  <si>
    <t>Program  10: ŽIVOTNÉ PROSTREDIE</t>
  </si>
  <si>
    <t>PROGRAM  11: SOCIÁLNE SLUŽBY</t>
  </si>
  <si>
    <t>Program  11: SOCIÁLNE SLUŽBY</t>
  </si>
  <si>
    <t>PROGRAM  12: ROZVOJ MESTA</t>
  </si>
  <si>
    <t>Program  12: ROZVOJ MESTA</t>
  </si>
  <si>
    <t>CVČ Trenčín</t>
  </si>
  <si>
    <t>ZŠ Hodžova</t>
  </si>
  <si>
    <t>Príspevok obyvateľovi mesta na sociálnu službu</t>
  </si>
  <si>
    <t>ZŠ Dlhé Hony</t>
  </si>
  <si>
    <t>Prebytok bežného rozpočtu</t>
  </si>
  <si>
    <t>P r í j m y</t>
  </si>
  <si>
    <t>V ý d a v k y</t>
  </si>
  <si>
    <t>Výsledok hospodárenia</t>
  </si>
  <si>
    <t xml:space="preserve"> - prenájom budov</t>
  </si>
  <si>
    <t xml:space="preserve"> - prenájom bytových a nebytových priestorov</t>
  </si>
  <si>
    <t xml:space="preserve"> - ostatné</t>
  </si>
  <si>
    <t xml:space="preserve"> - hrobové miesta</t>
  </si>
  <si>
    <t xml:space="preserve"> - prenájom kultúrnych stredísk</t>
  </si>
  <si>
    <t>Iné príjmy z činnosti</t>
  </si>
  <si>
    <t>Prebytok/Schodok kapitálového rozpočtu</t>
  </si>
  <si>
    <t>Prebytok/Schodok rozpočtu spolu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</si>
  <si>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</si>
  <si>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2016 bude predmetný úver splatený</t>
  </si>
  <si>
    <t>Územno plánovacie  podklady a dokumentácie</t>
  </si>
  <si>
    <t>MČ Stred</t>
  </si>
  <si>
    <t>Rekonštrukcia strechy</t>
  </si>
  <si>
    <t>Odmeňovanie učiteľov, žiakov, knihy...</t>
  </si>
  <si>
    <t>Dotácie v oblasti školstva a výchovy</t>
  </si>
  <si>
    <t>Dotácie na mládež</t>
  </si>
  <si>
    <t>Dotácie na výnimočné akcie</t>
  </si>
  <si>
    <t>Tanečný klub Dukla Trenčín : Laugaricio Cup</t>
  </si>
  <si>
    <t>Pohoda festival s.r.o. - Festival Pohoda</t>
  </si>
  <si>
    <t>Ora et Ars</t>
  </si>
  <si>
    <t>Pri Trenčianskej bráne</t>
  </si>
  <si>
    <t>OZ Trenčiansky ÚTULOK - dotácia na prevádzku a činnosť</t>
  </si>
  <si>
    <t>Kultúrne centrum seniorov</t>
  </si>
  <si>
    <t>PROGRAM   8: ŠPORT a MLÁDEŽ</t>
  </si>
  <si>
    <t>Dotácie na šport a mládež</t>
  </si>
  <si>
    <t>Program   8: ŠPORT a MLÁDEŽ</t>
  </si>
  <si>
    <t>TJ Družstevník Záblatie - dotácia na činnosť klubu</t>
  </si>
  <si>
    <t>TJ Družstevník Opatová - dotácia na činnosť klubu</t>
  </si>
  <si>
    <t>Stavebný úrad pre Mesto Trenčín</t>
  </si>
  <si>
    <t>TJ Družstevník Záblatie - energie</t>
  </si>
  <si>
    <t>Projekt MsP - letný detský tábor</t>
  </si>
  <si>
    <t>Územno plánovacie podklady a dokumen.</t>
  </si>
  <si>
    <t>Aktualizácia katastrálnych máp, paspory, ortofotomapa, 19.etapa technickej mapy mesta</t>
  </si>
  <si>
    <t>Architektonické štúdie</t>
  </si>
  <si>
    <t>Územno plánovacie  podklady a dokumentácie, príprava ÚPN CMZ</t>
  </si>
  <si>
    <t>Slovenský zväz protifašistických bojovníkov - ZO - Trenčín 1</t>
  </si>
  <si>
    <t xml:space="preserve">Združenie kresťanských seniorov </t>
  </si>
  <si>
    <t>Okresná organizácia Jednoty dôchodcov na Slovensku v Trenčíne, z toho:</t>
  </si>
  <si>
    <t xml:space="preserve"> Jednota dôchodcov - ZO č.19</t>
  </si>
  <si>
    <t xml:space="preserve"> Jednota dôchodcov - ZO č.02</t>
  </si>
  <si>
    <t xml:space="preserve"> Jednota dôchodcov - ZO č.27</t>
  </si>
  <si>
    <t xml:space="preserve"> Jednota dôchodcov - ZO č.05</t>
  </si>
  <si>
    <t xml:space="preserve"> Jednota dôchodcov - ZO č.30</t>
  </si>
  <si>
    <t xml:space="preserve"> Jednota dôchodcov - ZO č.01</t>
  </si>
  <si>
    <t xml:space="preserve"> Jednota dôchodcov - ZO č.06</t>
  </si>
  <si>
    <t>Maják na auto</t>
  </si>
  <si>
    <t>Rozšírenie a modernizácia kamerového systému</t>
  </si>
  <si>
    <t>Multifunkčné vozidlo na čistenie</t>
  </si>
  <si>
    <t>MŠ Orechovská</t>
  </si>
  <si>
    <t>MŠ J.Kráľa</t>
  </si>
  <si>
    <t>CVČ pri ZŠ A.Svorada</t>
  </si>
  <si>
    <t>ŠKD pri ZŠ A.Svorada</t>
  </si>
  <si>
    <t>CVČ - Piaristické gymnázium J.Braneckého</t>
  </si>
  <si>
    <t>ZUŠ Gagarinova</t>
  </si>
  <si>
    <t>ŠJ pri Piaristickom gymnáziu J.Braneckého</t>
  </si>
  <si>
    <t>ŠJ pri ZŠ A.Svorada</t>
  </si>
  <si>
    <t>ŠJ Vedecko - náučné centrum FUTURUM</t>
  </si>
  <si>
    <t>Zariadenie pre odstraňovanie porúch VO</t>
  </si>
  <si>
    <t xml:space="preserve">Nájomná zmluva Galéria Bazovského </t>
  </si>
  <si>
    <t>Rekultivácia skládky Zámostie - splátka</t>
  </si>
  <si>
    <t>CO kryty</t>
  </si>
  <si>
    <t>KS Kubra</t>
  </si>
  <si>
    <t xml:space="preserve">KS Zlatovce </t>
  </si>
  <si>
    <t xml:space="preserve">Centrum kultúry a služieb JUH </t>
  </si>
  <si>
    <t xml:space="preserve">KS Hviezda </t>
  </si>
  <si>
    <t>Za stravné MŠ</t>
  </si>
  <si>
    <t xml:space="preserve">Za stravné zamestnanci </t>
  </si>
  <si>
    <t xml:space="preserve">Nocľaháreň  </t>
  </si>
  <si>
    <t>Za predaj výrobkov, tovarov a služieb - ubytovanie</t>
  </si>
  <si>
    <t>Za predaj výrobkov, tovarov a služieb - stravovanie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</si>
  <si>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</si>
  <si>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</si>
  <si>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</si>
  <si>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</si>
  <si>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</si>
  <si>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>Opatrovateľská služba staroba</t>
  </si>
  <si>
    <t>Opatrovateľská služba invalidi</t>
  </si>
  <si>
    <t xml:space="preserve">Za predaj výrobkov, tovarov a služieb </t>
  </si>
  <si>
    <t>MPSVaR - sociálne zabezpečenie -  ZOS</t>
  </si>
  <si>
    <t>Dotácia na prenesené kompetencie na školstvo</t>
  </si>
  <si>
    <t>Dotácia na prenesené kompetencie na materské školy</t>
  </si>
  <si>
    <t>Dotácia na matriku</t>
  </si>
  <si>
    <t>Dotácia na stavebný úrad</t>
  </si>
  <si>
    <t>Dotácia na školský úrad</t>
  </si>
  <si>
    <t>Dotácia na register obyvateľstva</t>
  </si>
  <si>
    <t>Dotácia v oblasti bývania - ŠFRB</t>
  </si>
  <si>
    <t>ZUŠ Novomeského</t>
  </si>
  <si>
    <t>Soblahov</t>
  </si>
  <si>
    <t>Krytá a letná plaváreň</t>
  </si>
  <si>
    <t>Energie za objekty</t>
  </si>
  <si>
    <t>Dotácia KC Kubra, o.z.</t>
  </si>
  <si>
    <t>Vyčistenie hradného brala</t>
  </si>
  <si>
    <t>Klimatizácia (UE - odpady)</t>
  </si>
  <si>
    <t>Kotolňa Sokolovňa - búracie práce</t>
  </si>
  <si>
    <t>Rekonštrukcia okien</t>
  </si>
  <si>
    <t>Tvorba úspor na dieťa, príspevky na dopravu do detského domova, na úpravu rodinných pomerov</t>
  </si>
  <si>
    <t>Rekonštrukcia elektroinštalácie</t>
  </si>
  <si>
    <t>Náhradná výsadba</t>
  </si>
  <si>
    <t>Služby (INFO)</t>
  </si>
  <si>
    <t>Otvorenie kultúrneho leta - Príbehy z Trenčína</t>
  </si>
  <si>
    <t>Členské do OOCR na rok 2016</t>
  </si>
  <si>
    <t xml:space="preserve">ZOS </t>
  </si>
  <si>
    <t>MK Šoltésovej</t>
  </si>
  <si>
    <t>Festival franc.filmov v Trenčín/Festival slovenských filmov v Cran - Gevrier</t>
  </si>
  <si>
    <t>Refugium n.o.  - Hospic milosrdných sestier v Trenčíne - dotácia na činnosť</t>
  </si>
  <si>
    <t>Poradenstvo - bytové problémy</t>
  </si>
  <si>
    <t>Nové moduly</t>
  </si>
  <si>
    <t>Cyklotrasy - realizácia</t>
  </si>
  <si>
    <t>Kapitálové transfery</t>
  </si>
  <si>
    <t>MK J.Zemana</t>
  </si>
  <si>
    <t>Prechod pre chodcov Horné Orechové</t>
  </si>
  <si>
    <t>Chodník Hanzlíkovská</t>
  </si>
  <si>
    <t>ÚPD - dočerpanie úveru z roku 2015</t>
  </si>
  <si>
    <t>Rekon.Mierového nám. - IA z roku 2015</t>
  </si>
  <si>
    <t>MČ Stred - rek.detského ihriska na Karpatskej ul. - IA z r.2015</t>
  </si>
  <si>
    <t>Trafostanica - prekládka - IA z r.2015</t>
  </si>
  <si>
    <t>Dom smútku Juh - rek.a zateplenie strechy - IA z r.2015</t>
  </si>
  <si>
    <t>MČ Západ - rozšírenie cintorína Zlatovce - IA z r.2015</t>
  </si>
  <si>
    <t>Rek.križovatky Šmidkeho Halašu Novomeského - IA z r.2015</t>
  </si>
  <si>
    <t>Odvodnenie MK Niva - IA z r.2015</t>
  </si>
  <si>
    <t>MČ Západ - ul. Jahodová - nová komunikácia - IA z r.2015</t>
  </si>
  <si>
    <t>MČ Západ - Futbalové ihrisko Záblatie - IA z r.2015</t>
  </si>
  <si>
    <t>Rozšírenie parkoviska Saratovská cintorín</t>
  </si>
  <si>
    <t>Detské ihriská - realizácia</t>
  </si>
  <si>
    <t>Nozdrkovský chodník - IA z r. 2015</t>
  </si>
  <si>
    <t>MČ Stred - rekonštr. Priechodu pre chodcov na Ul.Legionárska pri Perle,na Ul.Soblahovská pri cintoríne, na Ul.Piaristická pri poliklinike - IA z r.2015</t>
  </si>
  <si>
    <t>Premiestnenie montovaných obytných buniek</t>
  </si>
  <si>
    <t>453: Prevod hospodárskeho výsledku za predchádzajúci rok</t>
  </si>
  <si>
    <t>454: Prevod z rezervného fondu</t>
  </si>
  <si>
    <t>453: Prevod finančných prostriedkov z roku 2015 - dočerpanie úveru z r.2015</t>
  </si>
  <si>
    <t>513: Prijatie dlhodobého úveru</t>
  </si>
  <si>
    <t>821: Splácanie istiny z bankových úverov dlhodobých</t>
  </si>
  <si>
    <t>821: ČSOB a.s. -  splátky verejného osvetlenia</t>
  </si>
  <si>
    <t>821: SLSP a.s. - istina z dohody o reštrukturalizácii dlhu</t>
  </si>
  <si>
    <t>821: ŠFRB - splácanie istiny z úveru</t>
  </si>
  <si>
    <t>DHZ Opatová</t>
  </si>
  <si>
    <t>DHZ Záblatie</t>
  </si>
  <si>
    <t>DHZ Kubrica</t>
  </si>
  <si>
    <t>Zimný štadión - kotolňa</t>
  </si>
  <si>
    <t>Ul.Opatovská - vybudovanie chodníka - IA z r.2015</t>
  </si>
  <si>
    <t>Dokončenie novej letnej plavárne</t>
  </si>
  <si>
    <t>Príprava projektov spoluúčasť</t>
  </si>
  <si>
    <t>Implementácia projektov spoluúčasť</t>
  </si>
  <si>
    <t>Cyklotrasy</t>
  </si>
  <si>
    <t>Normotvorná činnosť mesta</t>
  </si>
  <si>
    <t>Komunikácia s verej.inštitúciami v mene mesta</t>
  </si>
  <si>
    <t>Kontrola činnosti samosprávy</t>
  </si>
  <si>
    <t>MK Odbojárov a Pod čerešňami</t>
  </si>
  <si>
    <t>Chodník prepojenie Gen. Svobodu a Východná, 3 prechody s osvetlením</t>
  </si>
  <si>
    <t>Rozšírenie parkovania pri MŠ Šafárikova</t>
  </si>
  <si>
    <t>PD - Výstavba chodníkov Záblatie Sigôtky, Záblatská ulica</t>
  </si>
  <si>
    <t>PD - Prepojenie ulíc Armádna Opatovská</t>
  </si>
  <si>
    <t>Doplnenie VO - úsek KD Zlatovce po napojenie na ul.Psotného</t>
  </si>
  <si>
    <t>Doplnenie svetelných bodov VO Hanzlíkovská</t>
  </si>
  <si>
    <t>Chodník križovatka Majerská, Kasárenská, Na kamenci</t>
  </si>
  <si>
    <t>Bežná údržba</t>
  </si>
  <si>
    <t>Zimná údržba</t>
  </si>
  <si>
    <t>Služby propagačné</t>
  </si>
  <si>
    <t>Služby - prezentácia mesta v médiach</t>
  </si>
  <si>
    <t>KS Sihoť - Dni Sihote</t>
  </si>
  <si>
    <t>01111</t>
  </si>
  <si>
    <t>Nové moduly -  mzdy</t>
  </si>
  <si>
    <t xml:space="preserve">Nové moduly - vybavenie dvoch tried </t>
  </si>
  <si>
    <t>Nové moduly - poistné</t>
  </si>
  <si>
    <t>PD rozšírenie cintorína Opatová</t>
  </si>
  <si>
    <t>Osvetlenie, úprava komunikácií cintorína Kubra</t>
  </si>
  <si>
    <t>Futbalové ihrisko Opatová</t>
  </si>
  <si>
    <t>PD rekonštrukcia strechy</t>
  </si>
  <si>
    <t>Rekonštrukcia okien, sociálne zariadenia, strecha</t>
  </si>
  <si>
    <t>Rekonštrukcia terasy, balkóny</t>
  </si>
  <si>
    <t>Prípojka vody a elektrickej energie</t>
  </si>
  <si>
    <t>Rekonštrukcia el.vedenia v telocvični</t>
  </si>
  <si>
    <t>PD - sociálne zariadenia</t>
  </si>
  <si>
    <t>Sociálne zariadenia</t>
  </si>
  <si>
    <t>Vybudovanie časti cyklotrasy Juh - centrum</t>
  </si>
  <si>
    <t>PD - rozšírenie požiarnej zbrojnice Opatová</t>
  </si>
  <si>
    <t>PD - podkrovie</t>
  </si>
  <si>
    <t>MŠ Legionárska - vypracovanie projektovej dokumentácie</t>
  </si>
  <si>
    <t>MČ Sever - ul.I.Krasku - parkovanie - IA z roku 2015</t>
  </si>
  <si>
    <t>MČ Stred - PD - rekonštrukcia Priechodu pre chodcov na Ul.Legionárska pri Perle, na Ul.Soblahovská pri cintoríne, na Ul.Piaristická pri poliklinike - IA z roku 2015</t>
  </si>
  <si>
    <t>MČ Stred - PD - priechod pre chodcov Ul.Súdna - IA z roku 2015</t>
  </si>
  <si>
    <t>MČ Juh - Ul.Šafárikova pod ZŠ statická doprava - IA z roku 2015</t>
  </si>
  <si>
    <t>ZŠ Dlhé Hony - športový areál - IA z roku 2015</t>
  </si>
  <si>
    <t>PD - Rekonštrukcia kondenzačnej časti chladenia</t>
  </si>
  <si>
    <t>PD energetický projekt</t>
  </si>
  <si>
    <t>Dotácia na údržbu vojnových hrobov</t>
  </si>
  <si>
    <t>Služby - vojnové hroby</t>
  </si>
  <si>
    <t>PD - Sprístupnenie južného opevnenia Trenčianskeho hradu</t>
  </si>
  <si>
    <t>Podchod pre peších pod Chynoranskou traťou - PD</t>
  </si>
  <si>
    <t>MČ Juh - Saratovská - PD chodník - IA r.2015</t>
  </si>
  <si>
    <t>PD Cyklistické prepojenie Centrum - sídl.Juh - IA z r.2015</t>
  </si>
  <si>
    <t>Priechod pre chodcov ul.Hodžova - IA z r.2015</t>
  </si>
  <si>
    <t>MČ Sever - Opatovská + Žilinská - IA z r.2015</t>
  </si>
  <si>
    <t>MČ Stred - Pod Komárky - rekonštrukcia - IA z r.2015</t>
  </si>
  <si>
    <t>MČ Stred - rekonštrukcia na nám.Sv.Anny - IA z r.2015</t>
  </si>
  <si>
    <t>ŽSR - Podchod pre peších pod Chynoranskou traťou</t>
  </si>
  <si>
    <t>Nákup strojov,prístrojov, zariadení, techniky a náradia</t>
  </si>
  <si>
    <t>Nová technológia Jumping jet - fontána Vodník</t>
  </si>
  <si>
    <t>MČ Juh - Osvetlenie vnútrobloku za KC Juh</t>
  </si>
  <si>
    <t>MČ Juh - Osvetlenie parkoviska medzi ZŠ Novomeského a Ul.Šafárikova</t>
  </si>
  <si>
    <t>MČ Juh - Osvetlenie Halalovka 50 - Východná 26</t>
  </si>
  <si>
    <t>MČ Juh - Jednosmerka Gen.Svobodu č.3-13</t>
  </si>
  <si>
    <t>MČ Juh - Kontajnerové státie Mateja Bela (podzemné)</t>
  </si>
  <si>
    <t>MČ Juh - M.Bela 22-26 - rekonštrukcia cesty</t>
  </si>
  <si>
    <t>MČ Juh - križovatka ulíc M.Bela - Halalovka prechod pre chodcov</t>
  </si>
  <si>
    <t>MČ Juh - Chodník k zdravotnému stredisku od M.Bela</t>
  </si>
  <si>
    <t>MČ Juh - Chodník Ul.Novomeského, smer Saratovská</t>
  </si>
  <si>
    <t xml:space="preserve">MČ Juh - Zábrany pred vchodom do ZŠ Novomeského </t>
  </si>
  <si>
    <t>MČ Juh - PD parkovanie pre ZŠ Novomeského</t>
  </si>
  <si>
    <t>MČ Juh - MŠ J.Halašu - sociálne zariadenia</t>
  </si>
  <si>
    <t>MČ Juh - ZŠ Východná - strecha</t>
  </si>
  <si>
    <t>MČ Juh - MHSL m.r.o. - KS Juh - vstupné dvere hlavné a do knižnice</t>
  </si>
  <si>
    <t>Z vratiek</t>
  </si>
  <si>
    <t>Dotácia pre deti v hmotnej núdzi</t>
  </si>
  <si>
    <t>Dotácia na Voľby do NR SR 2015</t>
  </si>
  <si>
    <t>ŠJ Gymnázium FUTURUM</t>
  </si>
  <si>
    <t>HK Dukla n.o. - dotácia na nájom nebytových priestorov, energie a ľadovú plochu</t>
  </si>
  <si>
    <t>HK Duklaa.s. - dotácia na nájom nebytových priestorov, energie a ľadovú plochu</t>
  </si>
  <si>
    <t>FRYSLA Slovakia s.r.o. - dotácia na nájom nebytových priestorov, energie a ľadovú plochu</t>
  </si>
  <si>
    <t>KRASO Trenčín - dotácia na nájom nebytových priestorov, energie a ľadovú plochu</t>
  </si>
  <si>
    <t>SHŠ Wagus n.o. - Trenčianske historické slávnosti</t>
  </si>
  <si>
    <t>PD - Rozšírenie parkoviska Saratovská cintorín</t>
  </si>
  <si>
    <t>MČ Stred - PD - rek.detského ihriska na Karpatskej ul. - IA z r.2015</t>
  </si>
  <si>
    <t>MČ západ - Chodník + cyklotrasa Kasárenská ulica od MŽT po Majerskú ul.</t>
  </si>
  <si>
    <t>MČ západ - PD Chodník + cyklotrasa Kasárenská ulica od MŽT po Majerskú ul.</t>
  </si>
  <si>
    <t>MČ Západ - Rekonštrukcia časti chodníka ul.Na Kamenci smer Vinohrady</t>
  </si>
  <si>
    <t>MČ Západ - Rekonštrukcia časti chodníkov na ul.Zlatovská a Staničná</t>
  </si>
  <si>
    <t>MČ Západ - PD Rekonštrukcia cesty + cyklotrasa na ul. Na Kamenci, od Ul.Na Vinohrady po Kasárenskú ul.</t>
  </si>
  <si>
    <t>MČ Západ - Rekonštrukcia plochy pred Domom smútku Záblatie</t>
  </si>
  <si>
    <t xml:space="preserve">MČ Sever - úprava povrchu hrádze </t>
  </si>
  <si>
    <t>MČ Sever - PD Úprava križovatky ulíc Považská/Gagarinova</t>
  </si>
  <si>
    <t>MČ Sever - PD Rozšírenie parkoviska pri hrádzi od ul.Clementisova až po ul.Pádivého</t>
  </si>
  <si>
    <t>MČ Sever - PD Stavebná úprava chodníkov Opatovská ul., Žilinská ul., Hodžova ul., Považská ul.</t>
  </si>
  <si>
    <t>MČ Sever - PD Lávka cez Nosický kanál</t>
  </si>
  <si>
    <t>MČ Sever - PD Úprava MK a ul.Pod Sokolice</t>
  </si>
  <si>
    <t>MČ Sever - ul.I.Krasku - parkovanie</t>
  </si>
  <si>
    <t>MČ Sever - Stavebná úprava MK v časti Žilinská č.14 až č.16</t>
  </si>
  <si>
    <t>MČ Sever - MŠ Kubranská</t>
  </si>
  <si>
    <t>MČ Sever - ZŠ Kubranská</t>
  </si>
  <si>
    <t>MČ Sever - PD Športový areál Nábrežná ul.</t>
  </si>
  <si>
    <t>MČ Sever - KS Sihoť nákup hnuteľného majetku</t>
  </si>
  <si>
    <t>MČ Sever - KS Opatová nákup hnuteľného majetku</t>
  </si>
  <si>
    <t>MČ Sever - KS Kubra nákup hnuteľného majetku</t>
  </si>
  <si>
    <t>MČ Sever - Úprava verejného priestranstva v časti Kubra</t>
  </si>
  <si>
    <t>MČ Sever - Úprava verejného priestranstva v časti Kubra Kyselka</t>
  </si>
  <si>
    <t>MČ Sever - Participačný program s občanmi</t>
  </si>
  <si>
    <t>MČ Stred - Rekonštrukcia MK Osloboditeľov</t>
  </si>
  <si>
    <t>MČ Stred - Výstavba nového priechodu pre chodcov na Ul.Piaristická</t>
  </si>
  <si>
    <t>MČ Stred - Rekonštrukcia priechodu pre chodcov pri Fakultnej nemocnici</t>
  </si>
  <si>
    <t>MČ Stred - PD na 2 priechody pre chodcov v Trenčianskych Biskupiciach</t>
  </si>
  <si>
    <t>MČ Stred - Rekonštrukcia podchodu vrátane schodov popod ul.Električná medzi ul.J.Zemana a "novej polikliniky - zdravotného strediska"</t>
  </si>
  <si>
    <t>MČ Stred - Detské ihrisko Karpatská</t>
  </si>
  <si>
    <t>Upravený bežný rozpočet na rok 2016</t>
  </si>
  <si>
    <t>Upravený kapitálový rozpočet na rok 2016</t>
  </si>
  <si>
    <t>Upravený rozpočet na rok 2016</t>
  </si>
  <si>
    <t>Upravený rozpočet na rok 2016 spolu</t>
  </si>
  <si>
    <t>SIŠ V.Predmerského - dotácia na stravu a školské potreby pre deti v hmotnej núdzi</t>
  </si>
  <si>
    <t>PD - premiestnenie montovaných obytných buniek</t>
  </si>
  <si>
    <t>PD - prípojka vody a elektrickej energie</t>
  </si>
  <si>
    <t>PD - rekonštrukcia elektroinštalácie</t>
  </si>
  <si>
    <t>Dotácia z Dobrovoľnej požiarnej ochrany</t>
  </si>
  <si>
    <t>Materiál - DHZ Opatová</t>
  </si>
  <si>
    <t>Nevyčerpaná dotácia za rok 2015 - vratka do ŠR</t>
  </si>
  <si>
    <t>Križovatka pri Bille - CSS</t>
  </si>
  <si>
    <t>Ostatné kapitálové dotácie</t>
  </si>
  <si>
    <t>Nevyčerpaná dotácia z roku 2015 - vratka do ŠR</t>
  </si>
  <si>
    <t>Transfery jednotlivcom a neziskovým právnickým osobám</t>
  </si>
  <si>
    <t>DHZ Opatová - rekonštrukcia zbrojnice</t>
  </si>
  <si>
    <t>MK Kubra - Ku Kyselke - kúpa komunikácie</t>
  </si>
  <si>
    <t>MK Olbrachtova</t>
  </si>
  <si>
    <t>Dopravné značenie</t>
  </si>
  <si>
    <t>Dopravné značenie - cyklotrasy</t>
  </si>
  <si>
    <t>Priechody pre chodcov: osvetlenie</t>
  </si>
  <si>
    <t>Križovatka pod starým mostom a CSS - rekonštrukcia</t>
  </si>
  <si>
    <t>Ul.M.Hricku - rekonštrukcia</t>
  </si>
  <si>
    <t>Napojenie ul.Opatovská na ul.Armádna pri VÚO</t>
  </si>
  <si>
    <t>Nevyčerpaná dotácia za rok 2015</t>
  </si>
  <si>
    <t>Nevyčerpaná dotácia za rok 2015 - nové moduly</t>
  </si>
  <si>
    <t xml:space="preserve">Detské ihrisko </t>
  </si>
  <si>
    <t>Horyzonty o.z. - HoryZonty</t>
  </si>
  <si>
    <t>Kolomaž o.z. - Sám na javisku</t>
  </si>
  <si>
    <t>Chodník Čerešňový sad</t>
  </si>
  <si>
    <t xml:space="preserve">Nevyčerpaná dotácia za rok 2015 </t>
  </si>
  <si>
    <t>453: Nevyčerpané dotácie z roku 2015</t>
  </si>
  <si>
    <t>455: Postúpené pohľadávky z MHSL m.r.o.</t>
  </si>
  <si>
    <t>Kosenie verejnej zelene Západ</t>
  </si>
  <si>
    <t>Kosenie verejnej zelene Sever</t>
  </si>
  <si>
    <t>Kosenie verejnej zelene Stred</t>
  </si>
  <si>
    <t>Kosenie verejnej zelene Juh + rudeál</t>
  </si>
  <si>
    <t>Denné centrum seniorov Istebník</t>
  </si>
  <si>
    <t>Denné centrum seniorov Kubra</t>
  </si>
  <si>
    <t>Denné centrum seniorov Kubrica</t>
  </si>
  <si>
    <t>Denné centrum seniorov Mierové nám.</t>
  </si>
  <si>
    <t>Denné centrum seniorov Opatová</t>
  </si>
  <si>
    <t>Denné centrum seniorov Záblatie</t>
  </si>
  <si>
    <t>Denné centrum seniorov Zlatovce</t>
  </si>
  <si>
    <t>Denné centrum seniorov 28.októbra</t>
  </si>
  <si>
    <t>Dotácia na životné prostredie</t>
  </si>
  <si>
    <t>MČ Západ - komunikácie</t>
  </si>
  <si>
    <t>MK Karpatská</t>
  </si>
  <si>
    <t>MČ Sever - komunikácie</t>
  </si>
  <si>
    <t>MČ Juh - PD Jednosmerka Gen.Svobodu č.3-13</t>
  </si>
  <si>
    <t>PD - MK Šoltésovej</t>
  </si>
  <si>
    <t xml:space="preserve">Podchod pre peších pod Chynoranskou traťou </t>
  </si>
  <si>
    <t>MČ Sever - MŠ Považská - 3 ks vchodových dverí</t>
  </si>
  <si>
    <t>Zimný štadión - rekonštrukcia</t>
  </si>
  <si>
    <t>MK SR - Projekt Súsošiena stlpe na Mierovom námestí</t>
  </si>
  <si>
    <t>Služby - projekt Súsošie na stĺpe na Mierovom námestí</t>
  </si>
  <si>
    <t>Služby - projekt Nápis na trenčianskej skale</t>
  </si>
  <si>
    <t>Dotácia SZĽH - materiálno-technický rozvoj športu</t>
  </si>
  <si>
    <t>PD - MK Olbrachtova</t>
  </si>
  <si>
    <t>Materiál - DHZ Záblatie</t>
  </si>
  <si>
    <t>ZUŠ - pódium</t>
  </si>
  <si>
    <t>Dokončenie novej letnej plavárne - projekt pripojenia plynu</t>
  </si>
  <si>
    <t>cudzí stravníci</t>
  </si>
  <si>
    <t>Réžia - cudzí stravníci</t>
  </si>
  <si>
    <t>Súťaže zo ŠR</t>
  </si>
  <si>
    <t>Podpora opatrovateľskej služby</t>
  </si>
  <si>
    <t>Sponzorské finančné dary</t>
  </si>
  <si>
    <t>PD - Križovatka pri Bille - CSS</t>
  </si>
  <si>
    <t>bežné transfery</t>
  </si>
  <si>
    <t>PD - Križovatka pod starým mostom a CSS - rekonštrukcia</t>
  </si>
  <si>
    <t>MŠ 2M</t>
  </si>
  <si>
    <t>Hmotná núdza</t>
  </si>
  <si>
    <t>hmotná núdza</t>
  </si>
  <si>
    <t>PD - rekonštrukcia el.vedenia v telocvični</t>
  </si>
  <si>
    <t>Hmotná  núdza</t>
  </si>
  <si>
    <t>Revitalizácia plochy za budovou ZOS</t>
  </si>
  <si>
    <t>Rozvojové programy na rekonštrukcie telocviční ZŠ</t>
  </si>
  <si>
    <t>rozvojový projekt rekonštrukcia telocvične</t>
  </si>
  <si>
    <t>Terasa s markizou v objekte ZpS</t>
  </si>
  <si>
    <t>MČ Sever - HK Dukla n.o. - dotácia na nákup prístrojov</t>
  </si>
  <si>
    <t>MČ Sever - MŠ Niva</t>
  </si>
  <si>
    <t>Mestský zásah Juh - pokreslenie schodov pri ZŠ Východná</t>
  </si>
  <si>
    <t>MČ Juh - rozšírenie rádiusu komunikácie J.Halašu č.14</t>
  </si>
  <si>
    <t>MČ Juh - rekonštrukcia chodníka od Južanky k MŠ Šmidkého</t>
  </si>
  <si>
    <t>MČ Juh - PD ZŠ Východná - športové ihrisko</t>
  </si>
  <si>
    <t>MČ Juh - ZŠ Východná - športové ihrisko</t>
  </si>
  <si>
    <t>MČ Juh - rekonštrukcia plavárne</t>
  </si>
  <si>
    <t>MČ Juh - Detské ihrisko vnútroblok Halalovka - M.Bela</t>
  </si>
  <si>
    <t>MČ Juh/mestské zásahy - Workout a Seniori cvičisko v parku pod Južankou</t>
  </si>
  <si>
    <t>MČ Juh - nové vývesky VMČ</t>
  </si>
  <si>
    <t>Mestský zásah Juh - Lavičky v parku nad Južankou</t>
  </si>
  <si>
    <t>MČ Juh - Polopodzemné kontajnery ul.Šmidkého 5,7,9,11</t>
  </si>
  <si>
    <t xml:space="preserve">Mestský zásah Juh - Stena pri kostole </t>
  </si>
  <si>
    <t>KO Box Club Galanta - dotácia na podujatie Gentleman´s BOXing Night</t>
  </si>
  <si>
    <t>PD  - strecha + múr - IA z r.2015 (stavebné úpravy spojovacej chodby)</t>
  </si>
  <si>
    <t>Mestský zásah Stred - PD - úprava podchodu na Noviny pri Perle</t>
  </si>
  <si>
    <t>Mestský zásah Stred - úprava podchodu na Noviny pri Perle</t>
  </si>
  <si>
    <t>Mestský zásah Sever - úprava hrádze na Sihoti</t>
  </si>
  <si>
    <t>Mestský zásah Sever - 3 informačné - turist.tabule v Opatovej</t>
  </si>
  <si>
    <t>Mestský zásah Juh -  lavičky na ul.M.Bela</t>
  </si>
  <si>
    <t>Mestský zásah Sever - úprava priestoru námestia v Kubrej</t>
  </si>
  <si>
    <t>Mestský zásah Sever - Ostrovček pri "Milexe"</t>
  </si>
  <si>
    <t>Mestský zásah Sever - Úprava priestoru po zberných nádobách na Žilinskej 8</t>
  </si>
  <si>
    <t>Mestský zásah Západ - Kyselka Horné Orechové</t>
  </si>
  <si>
    <t>Mestský zásah Západ - zelené plochy Na kamenci a Žabinská</t>
  </si>
  <si>
    <t>MČ Západ - ul.Poľnohospodárska</t>
  </si>
  <si>
    <t>MČ Západ - ul. Okružná</t>
  </si>
  <si>
    <t>MČ Západ - Kyselky (minerálne pramene) Záblatie, Zlatovce, Orechové</t>
  </si>
  <si>
    <t>MČ Západ - Cintoríny Istebník - katolícky a evanjelický - prístrešky</t>
  </si>
  <si>
    <t>MČ západ -trávnatá plocha pri FŠ - lapač lôpt</t>
  </si>
  <si>
    <t>MČ západ -opravy a výmena mobiliáru detských ihrísk</t>
  </si>
  <si>
    <t>MČ Západ - MŠ Medňanského - dopravné ihrisko</t>
  </si>
  <si>
    <t>Stavebné úpravy spojovacej chodby</t>
  </si>
  <si>
    <t>Prevádzka parkovísk - SMS parking</t>
  </si>
  <si>
    <t>Prevádzka parkovísk - mobilné platby</t>
  </si>
  <si>
    <t>MČ Sever - MŠ Opatovská - výsadba tují - sadové úpravy</t>
  </si>
  <si>
    <t>MČ Sever - MŠ Švermova - vstupné dvere</t>
  </si>
  <si>
    <t>MČ Sever - workoutové ihrisko pri zimnom štadióne</t>
  </si>
  <si>
    <t>MČ Sever - Futbalový štadion Opatová</t>
  </si>
  <si>
    <t xml:space="preserve">Rozvojové projekty na rekonštrukcie telocviční ZŠ </t>
  </si>
  <si>
    <t>ZŠ Kubranská - vybavenie telocvične</t>
  </si>
  <si>
    <t>vybavenie telocvične</t>
  </si>
  <si>
    <t>vrátenie finančných prostriedkov za ľadovú plochu</t>
  </si>
  <si>
    <t>Spolok Dychová hudba Textilanka - činnosť</t>
  </si>
  <si>
    <t>Hádzanársky klub Štart o.z. - účasť družstva v česko-slovenskej súťaži žien WHIL</t>
  </si>
  <si>
    <t>LampArt - činnosť</t>
  </si>
  <si>
    <t>PD - Priechody pre chodcov: osvetlenie</t>
  </si>
  <si>
    <t>Chodník Psotného (z toho VMČ Západ 5.980 €)</t>
  </si>
  <si>
    <t>Grant od SPP</t>
  </si>
  <si>
    <t>Komplexná modernizácia verejného osvetlenia v meste Trenčín</t>
  </si>
  <si>
    <t>Príjmy z podnikania</t>
  </si>
  <si>
    <t>Dividendy</t>
  </si>
  <si>
    <t>Stavebná údržba</t>
  </si>
  <si>
    <t>Parkovacia politika - prenájom parkovacích automatov</t>
  </si>
  <si>
    <t>0461</t>
  </si>
  <si>
    <t>Parkovacia politika - služby (rampy)</t>
  </si>
  <si>
    <t>Parkovacia politika - služby (automaty)</t>
  </si>
  <si>
    <t>Parkovacia politika - kúpa 2 ks rampových systémov</t>
  </si>
  <si>
    <t>Rekonštrukcia sociálnych zariadení</t>
  </si>
  <si>
    <t>Údržba komunikácií - odburinenie</t>
  </si>
  <si>
    <t>Rekonštrukcia MK Hricku a časti Kubranskej pod kostolom</t>
  </si>
  <si>
    <t>Clover Media s.r.o. - Materiálno-technické zabezpečenie Happyband Orchestra</t>
  </si>
  <si>
    <t>Fond na podporu umenia - dotácia na Festival pri trenčianskej bráne</t>
  </si>
  <si>
    <t>Fond na podporu umenia - dotácia na projekt Nesiem Vám novinu</t>
  </si>
  <si>
    <t>Nesiem Vám novinu</t>
  </si>
  <si>
    <t>Súvislé obnovy povrchov miestnych komunikácií</t>
  </si>
  <si>
    <t>PD -elektroinštalácia telocvične</t>
  </si>
  <si>
    <t>PD - elektroinštalácia telocvične</t>
  </si>
  <si>
    <t>MŠ Bl.Tarzícia - dotácia na činnosť</t>
  </si>
  <si>
    <t>Rímskokatolícka Cirkev, farnosť Trenčín - dotácia na projekt "V škôlke zdravo a hravo"</t>
  </si>
  <si>
    <t>Slimáčik o.z.</t>
  </si>
  <si>
    <t>Škodové udalosti vo VZ</t>
  </si>
  <si>
    <t>PD Rekonštrukcia mestského opevnenia</t>
  </si>
  <si>
    <t>Realizácia záhradného altánku</t>
  </si>
  <si>
    <t>Realizácia chodníka v záhrade ZpS</t>
  </si>
  <si>
    <t>Centrum pre rodinu, o.z. - dotácia na činnosť</t>
  </si>
  <si>
    <t>PD - úprava parkoviska na Opatovskej ulici pre MHD</t>
  </si>
  <si>
    <t>Spomienka na 17.november 1989</t>
  </si>
  <si>
    <t xml:space="preserve">Spomienková svätá omša patróna mesta sv.Františka Xaverského </t>
  </si>
  <si>
    <t>Silvester</t>
  </si>
  <si>
    <t>MČ Sever - ul.Potočná - rekonštrukcia chodníkov a oporného múru</t>
  </si>
  <si>
    <t>MČ Sever - PD Komunikácia Volavé</t>
  </si>
  <si>
    <t>MČ Sever - Chodníky na Sihoti - realizácia</t>
  </si>
  <si>
    <t>PD - Prekládka trafostanice pri gréckokatolíckom kostole</t>
  </si>
  <si>
    <t>Rutinná a štandardná údržba - letná plaváreň</t>
  </si>
  <si>
    <t>Bunky Kasárenská - sťahovanie</t>
  </si>
  <si>
    <t>Rehoľa piaristov na Slovensku - dotácia na údržbu kultúrnej pamiatky</t>
  </si>
  <si>
    <t>Recyklačný fond</t>
  </si>
  <si>
    <t>PD - budova MsÚ - zníženie energetickej náročnosti budovy</t>
  </si>
  <si>
    <t>PD - budova MHSL - zníženie energetickej náročnosti budovy</t>
  </si>
  <si>
    <t>Kosačka/záhradný traktor, umývací stroj</t>
  </si>
  <si>
    <t>Rekonštrukcia vodoinštalácie</t>
  </si>
  <si>
    <t>PD - zníženie energetickej náročnosti budovy</t>
  </si>
  <si>
    <t xml:space="preserve">PD - rekonštrukcia elektroinštalácie </t>
  </si>
  <si>
    <t xml:space="preserve">Chodník ul.Pred Poľom </t>
  </si>
  <si>
    <t>2 ks rúry na pečenie</t>
  </si>
  <si>
    <t>Porealizačné zameranie stavby požiarnej zbrojnice Opatová</t>
  </si>
  <si>
    <t>Športový klub nepočujúcich Trenčín - dotácia na Deaf Champions Leugue vo futsale</t>
  </si>
  <si>
    <t>PD - MČ Juh - Polopodzemné kontajnery ul.Šmidkého 5,7,9,10</t>
  </si>
  <si>
    <t>PD - MČ Juh - Kontajnerové státie Mateja Bela (podzemné)</t>
  </si>
  <si>
    <t>Via LS s.r.o. - Dni Juhu</t>
  </si>
  <si>
    <t>Zbúranie autobusových zastávok ul.Istebnícka a Hanzlíkovská</t>
  </si>
  <si>
    <t xml:space="preserve">súťaže   </t>
  </si>
  <si>
    <t>sublicencia programu MP Manager</t>
  </si>
  <si>
    <t>KS Hviezda - výmena silnoprúdových rozvodov a osvetlenia</t>
  </si>
  <si>
    <t>nákup elektrickej panvice</t>
  </si>
  <si>
    <t>HK Dukla a.s. - dotácia na činnosť - zápasy extraligy a juniorskej ligy</t>
  </si>
  <si>
    <t>MČ Juh - konvektomat</t>
  </si>
  <si>
    <t>Elektrický varný kotol</t>
  </si>
  <si>
    <t>Ohrevná skriňa</t>
  </si>
  <si>
    <t>Plnenie Programového rozpočtu Mesta Trenčín k 31.12.2016</t>
  </si>
  <si>
    <t>% plnenia</t>
  </si>
  <si>
    <t>Plnenie k 31.12.2016</t>
  </si>
  <si>
    <t xml:space="preserve"> % plnenia</t>
  </si>
  <si>
    <t>Plnenie bežného rozpočtu k 31.12.2016</t>
  </si>
  <si>
    <t>Plnenie kapitálového rozpočtu k 31.12.2016</t>
  </si>
  <si>
    <t>Plnenie rozpočtu k 31.12.2016</t>
  </si>
  <si>
    <t>Za prebytočný hnuteľný majetok</t>
  </si>
  <si>
    <t>Dar</t>
  </si>
  <si>
    <t>455: Odplata za postúpenú pohľadávku Tebys</t>
  </si>
  <si>
    <t>Z vratiek, z dobropisov</t>
  </si>
  <si>
    <t>Výhry</t>
  </si>
  <si>
    <t>Poplatky cudzí stravníci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</si>
</sst>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9"/>
      <name val="Arial CE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11"/>
      <color indexed="9"/>
      <name val="Arial CE"/>
      <family val="2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i/>
      <sz val="9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10"/>
      <color indexed="9"/>
      <name val="Arial CE"/>
      <family val="2"/>
      <charset val="238"/>
    </font>
    <font>
      <sz val="11"/>
      <color indexed="8"/>
      <name val="Calibri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20"/>
      <color indexed="12"/>
      <name val="Tahoma"/>
      <family val="2"/>
      <charset val="238"/>
    </font>
    <font>
      <b/>
      <sz val="11"/>
      <color indexed="9"/>
      <name val="Arial CE"/>
      <charset val="238"/>
    </font>
    <font>
      <b/>
      <sz val="9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8"/>
      <color theme="0"/>
      <name val="Arial"/>
      <family val="2"/>
      <charset val="238"/>
    </font>
    <font>
      <i/>
      <sz val="8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37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40" fillId="0" borderId="0"/>
    <xf numFmtId="0" fontId="40" fillId="0" borderId="0"/>
  </cellStyleXfs>
  <cellXfs count="297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21" fillId="4" borderId="2" xfId="0" applyFont="1" applyFill="1" applyBorder="1"/>
    <xf numFmtId="0" fontId="22" fillId="0" borderId="2" xfId="0" applyFont="1" applyBorder="1" applyAlignment="1"/>
    <xf numFmtId="0" fontId="3" fillId="5" borderId="2" xfId="0" applyFont="1" applyFill="1" applyBorder="1"/>
    <xf numFmtId="0" fontId="18" fillId="4" borderId="2" xfId="0" applyFont="1" applyFill="1" applyBorder="1" applyAlignment="1"/>
    <xf numFmtId="0" fontId="24" fillId="6" borderId="3" xfId="0" applyFont="1" applyFill="1" applyBorder="1"/>
    <xf numFmtId="0" fontId="11" fillId="6" borderId="2" xfId="0" applyFont="1" applyFill="1" applyBorder="1"/>
    <xf numFmtId="0" fontId="11" fillId="0" borderId="2" xfId="0" applyFont="1" applyFill="1" applyBorder="1"/>
    <xf numFmtId="0" fontId="2" fillId="4" borderId="4" xfId="0" applyFont="1" applyFill="1" applyBorder="1"/>
    <xf numFmtId="0" fontId="29" fillId="6" borderId="5" xfId="0" applyFont="1" applyFill="1" applyBorder="1" applyAlignment="1"/>
    <xf numFmtId="0" fontId="29" fillId="7" borderId="2" xfId="0" applyFont="1" applyFill="1" applyBorder="1"/>
    <xf numFmtId="0" fontId="0" fillId="0" borderId="0" xfId="0" applyAlignment="1">
      <alignment horizontal="center"/>
    </xf>
    <xf numFmtId="0" fontId="41" fillId="0" borderId="0" xfId="0" applyFont="1"/>
    <xf numFmtId="3" fontId="0" fillId="0" borderId="0" xfId="0" applyNumberFormat="1"/>
    <xf numFmtId="3" fontId="2" fillId="4" borderId="4" xfId="0" applyNumberFormat="1" applyFont="1" applyFill="1" applyBorder="1"/>
    <xf numFmtId="3" fontId="29" fillId="6" borderId="5" xfId="0" applyNumberFormat="1" applyFont="1" applyFill="1" applyBorder="1" applyAlignment="1"/>
    <xf numFmtId="3" fontId="3" fillId="5" borderId="2" xfId="0" applyNumberFormat="1" applyFont="1" applyFill="1" applyBorder="1"/>
    <xf numFmtId="3" fontId="11" fillId="0" borderId="2" xfId="0" applyNumberFormat="1" applyFont="1" applyBorder="1"/>
    <xf numFmtId="3" fontId="7" fillId="0" borderId="2" xfId="0" applyNumberFormat="1" applyFont="1" applyBorder="1"/>
    <xf numFmtId="3" fontId="10" fillId="0" borderId="2" xfId="0" applyNumberFormat="1" applyFont="1" applyBorder="1"/>
    <xf numFmtId="3" fontId="9" fillId="2" borderId="1" xfId="0" applyNumberFormat="1" applyFont="1" applyFill="1" applyBorder="1" applyAlignment="1">
      <alignment vertical="center"/>
    </xf>
    <xf numFmtId="3" fontId="24" fillId="6" borderId="3" xfId="0" applyNumberFormat="1" applyFont="1" applyFill="1" applyBorder="1"/>
    <xf numFmtId="49" fontId="30" fillId="0" borderId="2" xfId="0" applyNumberFormat="1" applyFont="1" applyBorder="1"/>
    <xf numFmtId="0" fontId="30" fillId="0" borderId="2" xfId="0" applyFont="1" applyFill="1" applyBorder="1"/>
    <xf numFmtId="0" fontId="30" fillId="0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/>
    </xf>
    <xf numFmtId="0" fontId="29" fillId="6" borderId="6" xfId="0" applyFont="1" applyFill="1" applyBorder="1" applyAlignment="1"/>
    <xf numFmtId="0" fontId="3" fillId="5" borderId="4" xfId="0" applyFont="1" applyFill="1" applyBorder="1"/>
    <xf numFmtId="0" fontId="11" fillId="0" borderId="4" xfId="0" applyFont="1" applyBorder="1"/>
    <xf numFmtId="0" fontId="7" fillId="0" borderId="4" xfId="0" applyFont="1" applyBorder="1"/>
    <xf numFmtId="0" fontId="30" fillId="0" borderId="7" xfId="0" applyFont="1" applyFill="1" applyBorder="1" applyAlignment="1">
      <alignment horizontal="center"/>
    </xf>
    <xf numFmtId="0" fontId="31" fillId="0" borderId="2" xfId="0" applyFont="1" applyBorder="1" applyAlignment="1"/>
    <xf numFmtId="0" fontId="32" fillId="4" borderId="2" xfId="0" applyFont="1" applyFill="1" applyBorder="1"/>
    <xf numFmtId="3" fontId="20" fillId="13" borderId="2" xfId="0" applyNumberFormat="1" applyFont="1" applyFill="1" applyBorder="1" applyAlignment="1">
      <alignment horizontal="center" vertical="center" wrapText="1"/>
    </xf>
    <xf numFmtId="3" fontId="32" fillId="4" borderId="2" xfId="0" applyNumberFormat="1" applyFont="1" applyFill="1" applyBorder="1"/>
    <xf numFmtId="3" fontId="32" fillId="4" borderId="4" xfId="0" applyNumberFormat="1" applyFont="1" applyFill="1" applyBorder="1"/>
    <xf numFmtId="3" fontId="16" fillId="8" borderId="2" xfId="0" applyNumberFormat="1" applyFont="1" applyFill="1" applyBorder="1" applyAlignment="1"/>
    <xf numFmtId="3" fontId="27" fillId="9" borderId="2" xfId="0" applyNumberFormat="1" applyFont="1" applyFill="1" applyBorder="1" applyAlignment="1"/>
    <xf numFmtId="3" fontId="16" fillId="2" borderId="2" xfId="0" applyNumberFormat="1" applyFont="1" applyFill="1" applyBorder="1" applyAlignment="1">
      <alignment vertical="center"/>
    </xf>
    <xf numFmtId="3" fontId="18" fillId="4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9" fillId="7" borderId="2" xfId="0" applyNumberFormat="1" applyFont="1" applyFill="1" applyBorder="1"/>
    <xf numFmtId="3" fontId="11" fillId="6" borderId="2" xfId="0" applyNumberFormat="1" applyFont="1" applyFill="1" applyBorder="1"/>
    <xf numFmtId="3" fontId="11" fillId="0" borderId="2" xfId="0" applyNumberFormat="1" applyFont="1" applyFill="1" applyBorder="1"/>
    <xf numFmtId="0" fontId="29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3" fontId="31" fillId="0" borderId="2" xfId="0" applyNumberFormat="1" applyFont="1" applyFill="1" applyBorder="1" applyAlignment="1"/>
    <xf numFmtId="0" fontId="7" fillId="0" borderId="8" xfId="0" applyFont="1" applyBorder="1"/>
    <xf numFmtId="49" fontId="30" fillId="0" borderId="2" xfId="0" applyNumberFormat="1" applyFont="1" applyBorder="1" applyAlignment="1">
      <alignment horizontal="center"/>
    </xf>
    <xf numFmtId="0" fontId="11" fillId="0" borderId="8" xfId="0" applyFont="1" applyFill="1" applyBorder="1"/>
    <xf numFmtId="3" fontId="7" fillId="0" borderId="2" xfId="0" applyNumberFormat="1" applyFont="1" applyFill="1" applyBorder="1"/>
    <xf numFmtId="0" fontId="7" fillId="0" borderId="4" xfId="0" applyFont="1" applyFill="1" applyBorder="1"/>
    <xf numFmtId="0" fontId="7" fillId="0" borderId="2" xfId="0" applyFont="1" applyFill="1" applyBorder="1"/>
    <xf numFmtId="0" fontId="34" fillId="0" borderId="2" xfId="0" applyFont="1" applyFill="1" applyBorder="1"/>
    <xf numFmtId="3" fontId="7" fillId="0" borderId="2" xfId="0" applyNumberFormat="1" applyFont="1" applyBorder="1" applyAlignment="1">
      <alignment vertical="center"/>
    </xf>
    <xf numFmtId="0" fontId="35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/>
    </xf>
    <xf numFmtId="3" fontId="7" fillId="14" borderId="2" xfId="0" applyNumberFormat="1" applyFont="1" applyFill="1" applyBorder="1"/>
    <xf numFmtId="3" fontId="36" fillId="2" borderId="3" xfId="0" applyNumberFormat="1" applyFont="1" applyFill="1" applyBorder="1" applyAlignment="1"/>
    <xf numFmtId="0" fontId="7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41" fillId="0" borderId="9" xfId="0" applyFont="1" applyBorder="1" applyAlignment="1">
      <alignment wrapText="1"/>
    </xf>
    <xf numFmtId="0" fontId="7" fillId="0" borderId="4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15" borderId="2" xfId="0" applyNumberFormat="1" applyFont="1" applyFill="1" applyBorder="1" applyAlignment="1">
      <alignment horizontal="center"/>
    </xf>
    <xf numFmtId="0" fontId="7" fillId="15" borderId="2" xfId="0" applyFont="1" applyFill="1" applyBorder="1"/>
    <xf numFmtId="3" fontId="7" fillId="15" borderId="2" xfId="0" applyNumberFormat="1" applyFont="1" applyFill="1" applyBorder="1"/>
    <xf numFmtId="0" fontId="7" fillId="15" borderId="4" xfId="0" applyFont="1" applyFill="1" applyBorder="1"/>
    <xf numFmtId="0" fontId="7" fillId="0" borderId="2" xfId="0" applyFont="1" applyFill="1" applyBorder="1" applyAlignment="1">
      <alignment vertical="center" wrapText="1"/>
    </xf>
    <xf numFmtId="0" fontId="10" fillId="16" borderId="2" xfId="0" applyFont="1" applyFill="1" applyBorder="1"/>
    <xf numFmtId="3" fontId="10" fillId="16" borderId="2" xfId="0" applyNumberFormat="1" applyFont="1" applyFill="1" applyBorder="1"/>
    <xf numFmtId="0" fontId="3" fillId="0" borderId="2" xfId="0" applyFont="1" applyFill="1" applyBorder="1"/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0" fontId="23" fillId="0" borderId="0" xfId="0" applyFont="1" applyFill="1"/>
    <xf numFmtId="0" fontId="34" fillId="0" borderId="2" xfId="0" applyFont="1" applyFill="1" applyBorder="1" applyAlignment="1">
      <alignment horizontal="center" vertical="center"/>
    </xf>
    <xf numFmtId="0" fontId="34" fillId="14" borderId="11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49" fontId="11" fillId="0" borderId="2" xfId="0" applyNumberFormat="1" applyFont="1" applyBorder="1" applyAlignment="1">
      <alignment horizontal="center"/>
    </xf>
    <xf numFmtId="0" fontId="38" fillId="16" borderId="2" xfId="0" applyFont="1" applyFill="1" applyBorder="1"/>
    <xf numFmtId="0" fontId="38" fillId="0" borderId="2" xfId="0" applyFont="1" applyBorder="1"/>
    <xf numFmtId="0" fontId="38" fillId="0" borderId="2" xfId="0" applyFont="1" applyFill="1" applyBorder="1"/>
    <xf numFmtId="3" fontId="16" fillId="13" borderId="2" xfId="0" applyNumberFormat="1" applyFont="1" applyFill="1" applyBorder="1" applyAlignment="1">
      <alignment vertical="center"/>
    </xf>
    <xf numFmtId="0" fontId="7" fillId="14" borderId="2" xfId="0" applyFont="1" applyFill="1" applyBorder="1"/>
    <xf numFmtId="49" fontId="7" fillId="14" borderId="2" xfId="0" applyNumberFormat="1" applyFont="1" applyFill="1" applyBorder="1" applyAlignment="1">
      <alignment horizontal="center"/>
    </xf>
    <xf numFmtId="49" fontId="7" fillId="15" borderId="2" xfId="0" applyNumberFormat="1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vertical="center"/>
    </xf>
    <xf numFmtId="3" fontId="7" fillId="15" borderId="2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34" fillId="0" borderId="2" xfId="0" applyFont="1" applyFill="1" applyBorder="1" applyAlignment="1">
      <alignment vertical="center" wrapText="1"/>
    </xf>
    <xf numFmtId="0" fontId="29" fillId="19" borderId="2" xfId="0" applyFont="1" applyFill="1" applyBorder="1"/>
    <xf numFmtId="0" fontId="7" fillId="0" borderId="2" xfId="0" applyFont="1" applyBorder="1" applyAlignment="1">
      <alignment wrapText="1"/>
    </xf>
    <xf numFmtId="49" fontId="11" fillId="14" borderId="2" xfId="0" applyNumberFormat="1" applyFont="1" applyFill="1" applyBorder="1" applyAlignment="1">
      <alignment horizontal="center"/>
    </xf>
    <xf numFmtId="0" fontId="11" fillId="14" borderId="2" xfId="0" applyFont="1" applyFill="1" applyBorder="1"/>
    <xf numFmtId="3" fontId="11" fillId="14" borderId="2" xfId="0" applyNumberFormat="1" applyFont="1" applyFill="1" applyBorder="1"/>
    <xf numFmtId="3" fontId="7" fillId="20" borderId="2" xfId="0" applyNumberFormat="1" applyFont="1" applyFill="1" applyBorder="1"/>
    <xf numFmtId="0" fontId="7" fillId="20" borderId="2" xfId="0" applyFont="1" applyFill="1" applyBorder="1"/>
    <xf numFmtId="0" fontId="34" fillId="20" borderId="2" xfId="0" applyFont="1" applyFill="1" applyBorder="1" applyAlignment="1">
      <alignment vertical="center" wrapText="1"/>
    </xf>
    <xf numFmtId="3" fontId="7" fillId="20" borderId="2" xfId="0" applyNumberFormat="1" applyFont="1" applyFill="1" applyBorder="1" applyAlignment="1">
      <alignment vertical="center"/>
    </xf>
    <xf numFmtId="0" fontId="11" fillId="20" borderId="2" xfId="0" applyFont="1" applyFill="1" applyBorder="1"/>
    <xf numFmtId="3" fontId="11" fillId="20" borderId="2" xfId="0" applyNumberFormat="1" applyFont="1" applyFill="1" applyBorder="1"/>
    <xf numFmtId="0" fontId="7" fillId="20" borderId="2" xfId="0" applyFont="1" applyFill="1" applyBorder="1" applyAlignment="1">
      <alignment vertical="center" wrapText="1"/>
    </xf>
    <xf numFmtId="0" fontId="11" fillId="14" borderId="4" xfId="0" applyFont="1" applyFill="1" applyBorder="1"/>
    <xf numFmtId="0" fontId="30" fillId="21" borderId="4" xfId="0" applyFont="1" applyFill="1" applyBorder="1"/>
    <xf numFmtId="3" fontId="7" fillId="21" borderId="2" xfId="0" applyNumberFormat="1" applyFont="1" applyFill="1" applyBorder="1"/>
    <xf numFmtId="3" fontId="7" fillId="22" borderId="2" xfId="0" applyNumberFormat="1" applyFont="1" applyFill="1" applyBorder="1"/>
    <xf numFmtId="0" fontId="34" fillId="22" borderId="2" xfId="0" applyFont="1" applyFill="1" applyBorder="1"/>
    <xf numFmtId="0" fontId="7" fillId="22" borderId="4" xfId="0" applyFont="1" applyFill="1" applyBorder="1" applyAlignment="1">
      <alignment vertical="center" wrapText="1"/>
    </xf>
    <xf numFmtId="3" fontId="7" fillId="22" borderId="2" xfId="0" applyNumberFormat="1" applyFont="1" applyFill="1" applyBorder="1" applyAlignment="1">
      <alignment vertical="center"/>
    </xf>
    <xf numFmtId="0" fontId="30" fillId="17" borderId="4" xfId="0" applyFont="1" applyFill="1" applyBorder="1"/>
    <xf numFmtId="3" fontId="7" fillId="17" borderId="2" xfId="0" applyNumberFormat="1" applyFont="1" applyFill="1" applyBorder="1"/>
    <xf numFmtId="49" fontId="7" fillId="17" borderId="2" xfId="0" applyNumberFormat="1" applyFont="1" applyFill="1" applyBorder="1" applyAlignment="1">
      <alignment horizontal="center"/>
    </xf>
    <xf numFmtId="0" fontId="7" fillId="17" borderId="2" xfId="0" applyFont="1" applyFill="1" applyBorder="1"/>
    <xf numFmtId="0" fontId="7" fillId="17" borderId="2" xfId="0" applyFont="1" applyFill="1" applyBorder="1" applyAlignment="1">
      <alignment wrapText="1"/>
    </xf>
    <xf numFmtId="0" fontId="34" fillId="17" borderId="2" xfId="0" applyFont="1" applyFill="1" applyBorder="1" applyAlignment="1">
      <alignment vertical="center" wrapText="1"/>
    </xf>
    <xf numFmtId="3" fontId="7" fillId="17" borderId="2" xfId="0" applyNumberFormat="1" applyFont="1" applyFill="1" applyBorder="1" applyAlignment="1">
      <alignment vertical="center"/>
    </xf>
    <xf numFmtId="0" fontId="34" fillId="21" borderId="2" xfId="0" applyFont="1" applyFill="1" applyBorder="1" applyAlignment="1">
      <alignment vertical="center" wrapText="1"/>
    </xf>
    <xf numFmtId="3" fontId="7" fillId="21" borderId="2" xfId="0" applyNumberFormat="1" applyFont="1" applyFill="1" applyBorder="1" applyAlignment="1">
      <alignment vertical="center"/>
    </xf>
    <xf numFmtId="0" fontId="7" fillId="21" borderId="2" xfId="0" applyFont="1" applyFill="1" applyBorder="1" applyAlignment="1">
      <alignment wrapText="1"/>
    </xf>
    <xf numFmtId="0" fontId="7" fillId="17" borderId="2" xfId="0" applyFont="1" applyFill="1" applyBorder="1" applyAlignment="1">
      <alignment vertical="center"/>
    </xf>
    <xf numFmtId="0" fontId="7" fillId="17" borderId="2" xfId="0" applyFont="1" applyFill="1" applyBorder="1" applyAlignment="1">
      <alignment vertical="center" wrapText="1"/>
    </xf>
    <xf numFmtId="0" fontId="34" fillId="22" borderId="2" xfId="0" applyFont="1" applyFill="1" applyBorder="1" applyAlignment="1">
      <alignment vertical="center" wrapText="1"/>
    </xf>
    <xf numFmtId="0" fontId="7" fillId="21" borderId="2" xfId="0" applyFont="1" applyFill="1" applyBorder="1" applyAlignment="1">
      <alignment vertical="center" wrapText="1"/>
    </xf>
    <xf numFmtId="49" fontId="7" fillId="17" borderId="2" xfId="0" applyNumberFormat="1" applyFont="1" applyFill="1" applyBorder="1" applyAlignment="1">
      <alignment horizontal="center" vertical="center"/>
    </xf>
    <xf numFmtId="0" fontId="29" fillId="7" borderId="2" xfId="0" applyFont="1" applyFill="1" applyBorder="1" applyAlignment="1">
      <alignment vertical="center"/>
    </xf>
    <xf numFmtId="0" fontId="29" fillId="7" borderId="2" xfId="0" applyFont="1" applyFill="1" applyBorder="1" applyAlignment="1">
      <alignment horizontal="center" vertical="center"/>
    </xf>
    <xf numFmtId="3" fontId="29" fillId="7" borderId="2" xfId="0" applyNumberFormat="1" applyFont="1" applyFill="1" applyBorder="1" applyAlignment="1">
      <alignment vertical="center"/>
    </xf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0" fontId="34" fillId="14" borderId="2" xfId="0" applyFont="1" applyFill="1" applyBorder="1" applyAlignment="1">
      <alignment vertical="center" wrapText="1"/>
    </xf>
    <xf numFmtId="3" fontId="7" fillId="14" borderId="2" xfId="0" applyNumberFormat="1" applyFont="1" applyFill="1" applyBorder="1" applyAlignment="1">
      <alignment vertical="center"/>
    </xf>
    <xf numFmtId="0" fontId="7" fillId="17" borderId="4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4" xfId="0" applyFont="1" applyBorder="1"/>
    <xf numFmtId="3" fontId="7" fillId="0" borderId="24" xfId="0" applyNumberFormat="1" applyFont="1" applyBorder="1"/>
    <xf numFmtId="0" fontId="10" fillId="0" borderId="1" xfId="0" applyFont="1" applyBorder="1"/>
    <xf numFmtId="0" fontId="11" fillId="0" borderId="10" xfId="0" applyFont="1" applyFill="1" applyBorder="1"/>
    <xf numFmtId="0" fontId="11" fillId="0" borderId="4" xfId="0" applyFont="1" applyFill="1" applyBorder="1"/>
    <xf numFmtId="0" fontId="7" fillId="17" borderId="4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/>
    <xf numFmtId="49" fontId="7" fillId="20" borderId="2" xfId="0" applyNumberFormat="1" applyFont="1" applyFill="1" applyBorder="1" applyAlignment="1">
      <alignment horizontal="center"/>
    </xf>
    <xf numFmtId="0" fontId="7" fillId="20" borderId="2" xfId="0" applyFont="1" applyFill="1" applyBorder="1" applyAlignment="1">
      <alignment wrapText="1"/>
    </xf>
    <xf numFmtId="49" fontId="7" fillId="20" borderId="2" xfId="0" applyNumberFormat="1" applyFont="1" applyFill="1" applyBorder="1" applyAlignment="1">
      <alignment horizontal="center" vertical="center"/>
    </xf>
    <xf numFmtId="0" fontId="7" fillId="20" borderId="2" xfId="0" applyFont="1" applyFill="1" applyBorder="1" applyAlignment="1">
      <alignment vertical="center"/>
    </xf>
    <xf numFmtId="0" fontId="7" fillId="14" borderId="4" xfId="0" applyFont="1" applyFill="1" applyBorder="1" applyAlignment="1">
      <alignment vertical="center" wrapText="1"/>
    </xf>
    <xf numFmtId="0" fontId="7" fillId="14" borderId="2" xfId="0" applyFont="1" applyFill="1" applyBorder="1" applyAlignment="1">
      <alignment wrapText="1"/>
    </xf>
    <xf numFmtId="49" fontId="7" fillId="17" borderId="4" xfId="0" applyNumberFormat="1" applyFont="1" applyFill="1" applyBorder="1" applyAlignment="1">
      <alignment horizontal="center"/>
    </xf>
    <xf numFmtId="0" fontId="11" fillId="0" borderId="2" xfId="0" applyFont="1" applyBorder="1" applyAlignment="1">
      <alignment wrapText="1"/>
    </xf>
    <xf numFmtId="0" fontId="7" fillId="22" borderId="2" xfId="0" applyFont="1" applyFill="1" applyBorder="1"/>
    <xf numFmtId="3" fontId="10" fillId="0" borderId="1" xfId="0" applyNumberFormat="1" applyFont="1" applyBorder="1"/>
    <xf numFmtId="49" fontId="7" fillId="0" borderId="4" xfId="0" applyNumberFormat="1" applyFont="1" applyFill="1" applyBorder="1" applyAlignment="1">
      <alignment horizontal="center"/>
    </xf>
    <xf numFmtId="0" fontId="30" fillId="0" borderId="4" xfId="0" applyFont="1" applyFill="1" applyBorder="1"/>
    <xf numFmtId="0" fontId="7" fillId="0" borderId="4" xfId="0" applyFont="1" applyFill="1" applyBorder="1" applyAlignment="1">
      <alignment wrapText="1"/>
    </xf>
    <xf numFmtId="0" fontId="7" fillId="0" borderId="10" xfId="0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3" fontId="11" fillId="0" borderId="2" xfId="0" applyNumberFormat="1" applyFont="1" applyBorder="1" applyAlignment="1">
      <alignment vertical="center"/>
    </xf>
    <xf numFmtId="0" fontId="17" fillId="3" borderId="2" xfId="0" applyFont="1" applyFill="1" applyBorder="1" applyAlignment="1"/>
    <xf numFmtId="0" fontId="18" fillId="4" borderId="2" xfId="0" applyFont="1" applyFill="1" applyBorder="1" applyAlignment="1"/>
    <xf numFmtId="0" fontId="27" fillId="9" borderId="10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8" fillId="2" borderId="22" xfId="0" applyNumberFormat="1" applyFont="1" applyFill="1" applyBorder="1" applyAlignment="1">
      <alignment horizontal="left"/>
    </xf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0" fontId="0" fillId="14" borderId="0" xfId="0" applyFill="1"/>
    <xf numFmtId="3" fontId="0" fillId="14" borderId="0" xfId="0" applyNumberFormat="1" applyFill="1"/>
    <xf numFmtId="3" fontId="16" fillId="14" borderId="2" xfId="0" applyNumberFormat="1" applyFont="1" applyFill="1" applyBorder="1" applyAlignment="1">
      <alignment vertical="center"/>
    </xf>
    <xf numFmtId="3" fontId="18" fillId="14" borderId="2" xfId="0" applyNumberFormat="1" applyFont="1" applyFill="1" applyBorder="1" applyAlignment="1"/>
    <xf numFmtId="3" fontId="17" fillId="14" borderId="2" xfId="0" applyNumberFormat="1" applyFont="1" applyFill="1" applyBorder="1" applyAlignment="1"/>
    <xf numFmtId="49" fontId="12" fillId="12" borderId="14" xfId="0" applyNumberFormat="1" applyFont="1" applyFill="1" applyBorder="1" applyAlignment="1">
      <alignment horizontal="center"/>
    </xf>
    <xf numFmtId="3" fontId="46" fillId="14" borderId="2" xfId="0" applyNumberFormat="1" applyFont="1" applyFill="1" applyBorder="1" applyAlignment="1">
      <alignment horizontal="center" vertical="center" wrapText="1"/>
    </xf>
    <xf numFmtId="164" fontId="35" fillId="14" borderId="2" xfId="0" applyNumberFormat="1" applyFont="1" applyFill="1" applyBorder="1" applyAlignment="1">
      <alignment wrapText="1"/>
    </xf>
    <xf numFmtId="0" fontId="0" fillId="18" borderId="4" xfId="0" applyFill="1" applyBorder="1"/>
    <xf numFmtId="3" fontId="0" fillId="18" borderId="8" xfId="0" applyNumberFormat="1" applyFill="1" applyBorder="1"/>
    <xf numFmtId="2" fontId="1" fillId="14" borderId="2" xfId="0" applyNumberFormat="1" applyFont="1" applyFill="1" applyBorder="1" applyAlignment="1">
      <alignment vertical="center"/>
    </xf>
    <xf numFmtId="0" fontId="10" fillId="0" borderId="2" xfId="0" applyFont="1" applyFill="1" applyBorder="1"/>
    <xf numFmtId="3" fontId="10" fillId="0" borderId="2" xfId="0" applyNumberFormat="1" applyFont="1" applyFill="1" applyBorder="1"/>
    <xf numFmtId="164" fontId="1" fillId="14" borderId="2" xfId="0" applyNumberFormat="1" applyFont="1" applyFill="1" applyBorder="1" applyAlignment="1">
      <alignment vertical="center"/>
    </xf>
    <xf numFmtId="164" fontId="0" fillId="0" borderId="0" xfId="0" applyNumberFormat="1"/>
    <xf numFmtId="3" fontId="27" fillId="0" borderId="2" xfId="0" applyNumberFormat="1" applyFont="1" applyFill="1" applyBorder="1" applyAlignment="1"/>
    <xf numFmtId="164" fontId="1" fillId="14" borderId="2" xfId="0" applyNumberFormat="1" applyFont="1" applyFill="1" applyBorder="1"/>
    <xf numFmtId="164" fontId="7" fillId="0" borderId="2" xfId="0" applyNumberFormat="1" applyFont="1" applyFill="1" applyBorder="1"/>
    <xf numFmtId="164" fontId="35" fillId="14" borderId="2" xfId="0" applyNumberFormat="1" applyFont="1" applyFill="1" applyBorder="1" applyAlignment="1"/>
    <xf numFmtId="165" fontId="32" fillId="4" borderId="2" xfId="0" applyNumberFormat="1" applyFont="1" applyFill="1" applyBorder="1"/>
    <xf numFmtId="165" fontId="31" fillId="0" borderId="2" xfId="0" applyNumberFormat="1" applyFont="1" applyFill="1" applyBorder="1" applyAlignment="1"/>
    <xf numFmtId="3" fontId="48" fillId="13" borderId="2" xfId="0" applyNumberFormat="1" applyFont="1" applyFill="1" applyBorder="1" applyAlignment="1">
      <alignment horizontal="center" vertical="center" wrapText="1"/>
    </xf>
    <xf numFmtId="3" fontId="1" fillId="14" borderId="2" xfId="0" applyNumberFormat="1" applyFont="1" applyFill="1" applyBorder="1"/>
    <xf numFmtId="3" fontId="1" fillId="14" borderId="2" xfId="0" applyNumberFormat="1" applyFont="1" applyFill="1" applyBorder="1" applyAlignment="1">
      <alignment vertical="center"/>
    </xf>
    <xf numFmtId="0" fontId="1" fillId="0" borderId="0" xfId="0" applyFont="1"/>
    <xf numFmtId="165" fontId="35" fillId="14" borderId="2" xfId="0" applyNumberFormat="1" applyFont="1" applyFill="1" applyBorder="1" applyAlignment="1">
      <alignment vertical="center"/>
    </xf>
    <xf numFmtId="3" fontId="49" fillId="14" borderId="2" xfId="0" applyNumberFormat="1" applyFont="1" applyFill="1" applyBorder="1" applyAlignment="1"/>
    <xf numFmtId="3" fontId="35" fillId="14" borderId="2" xfId="0" applyNumberFormat="1" applyFont="1" applyFill="1" applyBorder="1" applyAlignment="1"/>
    <xf numFmtId="4" fontId="35" fillId="14" borderId="2" xfId="0" applyNumberFormat="1" applyFont="1" applyFill="1" applyBorder="1" applyAlignment="1">
      <alignment vertical="center"/>
    </xf>
    <xf numFmtId="4" fontId="1" fillId="14" borderId="2" xfId="0" applyNumberFormat="1" applyFont="1" applyFill="1" applyBorder="1"/>
    <xf numFmtId="4" fontId="1" fillId="14" borderId="2" xfId="0" applyNumberFormat="1" applyFont="1" applyFill="1" applyBorder="1" applyAlignment="1">
      <alignment vertical="center"/>
    </xf>
    <xf numFmtId="4" fontId="35" fillId="14" borderId="2" xfId="0" applyNumberFormat="1" applyFont="1" applyFill="1" applyBorder="1" applyAlignment="1"/>
    <xf numFmtId="4" fontId="1" fillId="0" borderId="0" xfId="0" applyNumberFormat="1" applyFont="1"/>
    <xf numFmtId="165" fontId="1" fillId="14" borderId="2" xfId="0" applyNumberFormat="1" applyFont="1" applyFill="1" applyBorder="1"/>
    <xf numFmtId="165" fontId="1" fillId="14" borderId="2" xfId="0" applyNumberFormat="1" applyFont="1" applyFill="1" applyBorder="1" applyAlignment="1">
      <alignment vertical="center"/>
    </xf>
    <xf numFmtId="165" fontId="35" fillId="14" borderId="2" xfId="0" applyNumberFormat="1" applyFont="1" applyFill="1" applyBorder="1" applyAlignment="1"/>
    <xf numFmtId="49" fontId="43" fillId="14" borderId="0" xfId="0" applyNumberFormat="1" applyFont="1" applyFill="1" applyBorder="1" applyAlignment="1">
      <alignment horizontal="center" vertical="center" wrapText="1"/>
    </xf>
    <xf numFmtId="0" fontId="44" fillId="23" borderId="27" xfId="0" applyFont="1" applyFill="1" applyBorder="1" applyAlignment="1">
      <alignment horizontal="center" vertical="center" wrapText="1"/>
    </xf>
    <xf numFmtId="0" fontId="44" fillId="23" borderId="25" xfId="0" applyFont="1" applyFill="1" applyBorder="1" applyAlignment="1">
      <alignment horizontal="center" vertical="center" wrapText="1"/>
    </xf>
    <xf numFmtId="0" fontId="44" fillId="23" borderId="26" xfId="0" applyFont="1" applyFill="1" applyBorder="1" applyAlignment="1">
      <alignment horizontal="center" vertical="center" wrapText="1"/>
    </xf>
    <xf numFmtId="3" fontId="25" fillId="13" borderId="1" xfId="0" applyNumberFormat="1" applyFont="1" applyFill="1" applyBorder="1" applyAlignment="1">
      <alignment horizontal="center" vertical="center" wrapText="1"/>
    </xf>
    <xf numFmtId="3" fontId="25" fillId="13" borderId="18" xfId="0" applyNumberFormat="1" applyFont="1" applyFill="1" applyBorder="1" applyAlignment="1">
      <alignment horizontal="center" vertical="center" wrapText="1"/>
    </xf>
    <xf numFmtId="3" fontId="25" fillId="13" borderId="17" xfId="0" applyNumberFormat="1" applyFont="1" applyFill="1" applyBorder="1" applyAlignment="1">
      <alignment horizontal="center" vertical="center" wrapText="1"/>
    </xf>
    <xf numFmtId="49" fontId="4" fillId="10" borderId="13" xfId="0" applyNumberFormat="1" applyFont="1" applyFill="1" applyBorder="1" applyAlignment="1">
      <alignment horizontal="center" vertical="center"/>
    </xf>
    <xf numFmtId="49" fontId="4" fillId="10" borderId="14" xfId="0" applyNumberFormat="1" applyFont="1" applyFill="1" applyBorder="1" applyAlignment="1">
      <alignment horizontal="center" vertical="center"/>
    </xf>
    <xf numFmtId="49" fontId="4" fillId="10" borderId="15" xfId="0" applyNumberFormat="1" applyFont="1" applyFill="1" applyBorder="1" applyAlignment="1">
      <alignment horizontal="center" vertical="center"/>
    </xf>
    <xf numFmtId="49" fontId="4" fillId="10" borderId="16" xfId="0" applyNumberFormat="1" applyFont="1" applyFill="1" applyBorder="1" applyAlignment="1">
      <alignment horizontal="center" vertical="center"/>
    </xf>
    <xf numFmtId="49" fontId="4" fillId="10" borderId="12" xfId="0" applyNumberFormat="1" applyFont="1" applyFill="1" applyBorder="1" applyAlignment="1">
      <alignment horizontal="center" vertical="center"/>
    </xf>
    <xf numFmtId="49" fontId="4" fillId="10" borderId="11" xfId="0" applyNumberFormat="1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5" fillId="10" borderId="17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17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1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8" fillId="10" borderId="1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wrapText="1"/>
    </xf>
    <xf numFmtId="3" fontId="14" fillId="13" borderId="2" xfId="0" applyNumberFormat="1" applyFont="1" applyFill="1" applyBorder="1" applyAlignment="1">
      <alignment horizontal="center" vertical="center" wrapText="1"/>
    </xf>
    <xf numFmtId="3" fontId="47" fillId="14" borderId="2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/>
    <xf numFmtId="0" fontId="0" fillId="0" borderId="10" xfId="0" applyBorder="1" applyAlignment="1"/>
    <xf numFmtId="0" fontId="0" fillId="0" borderId="4" xfId="0" applyBorder="1" applyAlignment="1"/>
    <xf numFmtId="0" fontId="13" fillId="11" borderId="2" xfId="0" applyFont="1" applyFill="1" applyBorder="1" applyAlignment="1">
      <alignment horizontal="center" vertical="center" textRotation="180" wrapText="1"/>
    </xf>
    <xf numFmtId="0" fontId="13" fillId="11" borderId="20" xfId="0" applyFont="1" applyFill="1" applyBorder="1" applyAlignment="1">
      <alignment horizontal="center" vertical="center" textRotation="180" wrapText="1"/>
    </xf>
    <xf numFmtId="0" fontId="18" fillId="4" borderId="8" xfId="0" applyFont="1" applyFill="1" applyBorder="1" applyAlignment="1"/>
    <xf numFmtId="0" fontId="13" fillId="11" borderId="1" xfId="0" applyFont="1" applyFill="1" applyBorder="1" applyAlignment="1">
      <alignment horizontal="center"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3" fontId="14" fillId="13" borderId="1" xfId="0" applyNumberFormat="1" applyFont="1" applyFill="1" applyBorder="1" applyAlignment="1">
      <alignment horizontal="center" vertical="center" wrapText="1"/>
    </xf>
    <xf numFmtId="3" fontId="14" fillId="13" borderId="18" xfId="0" applyNumberFormat="1" applyFont="1" applyFill="1" applyBorder="1" applyAlignment="1">
      <alignment horizontal="center" vertical="center" wrapText="1"/>
    </xf>
    <xf numFmtId="3" fontId="14" fillId="13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0" fillId="0" borderId="0" xfId="0" applyAlignment="1"/>
    <xf numFmtId="0" fontId="1" fillId="11" borderId="2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12" fillId="12" borderId="8" xfId="0" applyNumberFormat="1" applyFont="1" applyFill="1" applyBorder="1" applyAlignment="1">
      <alignment horizontal="center"/>
    </xf>
    <xf numFmtId="49" fontId="12" fillId="12" borderId="10" xfId="0" applyNumberFormat="1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49" fontId="12" fillId="12" borderId="4" xfId="0" applyNumberFormat="1" applyFont="1" applyFill="1" applyBorder="1" applyAlignment="1">
      <alignment horizontal="center"/>
    </xf>
    <xf numFmtId="3" fontId="45" fillId="14" borderId="2" xfId="0" applyNumberFormat="1" applyFont="1" applyFill="1" applyBorder="1" applyAlignment="1">
      <alignment horizontal="center" vertical="center" wrapText="1"/>
    </xf>
    <xf numFmtId="3" fontId="35" fillId="14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/>
    <xf numFmtId="0" fontId="0" fillId="0" borderId="2" xfId="0" applyBorder="1" applyAlignment="1"/>
    <xf numFmtId="0" fontId="18" fillId="4" borderId="2" xfId="0" applyFont="1" applyFill="1" applyBorder="1" applyAlignment="1"/>
    <xf numFmtId="4" fontId="47" fillId="14" borderId="2" xfId="0" applyNumberFormat="1" applyFont="1" applyFill="1" applyBorder="1" applyAlignment="1">
      <alignment horizontal="center" vertical="center" wrapText="1"/>
    </xf>
    <xf numFmtId="49" fontId="12" fillId="12" borderId="13" xfId="0" applyNumberFormat="1" applyFont="1" applyFill="1" applyBorder="1" applyAlignment="1">
      <alignment horizontal="center"/>
    </xf>
    <xf numFmtId="49" fontId="12" fillId="12" borderId="14" xfId="0" applyNumberFormat="1" applyFont="1" applyFill="1" applyBorder="1" applyAlignment="1">
      <alignment horizontal="center"/>
    </xf>
    <xf numFmtId="0" fontId="42" fillId="14" borderId="0" xfId="0" applyFont="1" applyFill="1" applyBorder="1" applyAlignment="1">
      <alignment horizontal="center" vertical="center" wrapText="1"/>
    </xf>
    <xf numFmtId="0" fontId="27" fillId="9" borderId="8" xfId="0" applyFont="1" applyFill="1" applyBorder="1" applyAlignment="1">
      <alignment horizontal="left"/>
    </xf>
    <xf numFmtId="0" fontId="27" fillId="9" borderId="10" xfId="0" applyFont="1" applyFill="1" applyBorder="1" applyAlignment="1">
      <alignment horizontal="left"/>
    </xf>
    <xf numFmtId="49" fontId="19" fillId="2" borderId="16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/>
    </xf>
    <xf numFmtId="0" fontId="33" fillId="14" borderId="0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left"/>
    </xf>
    <xf numFmtId="0" fontId="16" fillId="8" borderId="10" xfId="0" applyFont="1" applyFill="1" applyBorder="1" applyAlignment="1">
      <alignment horizontal="left"/>
    </xf>
    <xf numFmtId="3" fontId="28" fillId="2" borderId="21" xfId="0" applyNumberFormat="1" applyFont="1" applyFill="1" applyBorder="1" applyAlignment="1">
      <alignment horizontal="left"/>
    </xf>
    <xf numFmtId="3" fontId="28" fillId="2" borderId="22" xfId="0" applyNumberFormat="1" applyFont="1" applyFill="1" applyBorder="1" applyAlignment="1">
      <alignment horizontal="left"/>
    </xf>
    <xf numFmtId="0" fontId="27" fillId="0" borderId="8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</cellXfs>
  <cellStyles count="9">
    <cellStyle name="Excel Built-in Normal" xfId="1"/>
    <cellStyle name="Normálne" xfId="0" builtinId="0"/>
    <cellStyle name="normálne 2" xfId="2"/>
    <cellStyle name="normálne 2 2" xfId="3"/>
    <cellStyle name="normálne 2 3" xfId="4"/>
    <cellStyle name="Normálne 3" xfId="5"/>
    <cellStyle name="normálne 4" xfId="6"/>
    <cellStyle name="Normálne 5" xfId="7"/>
    <cellStyle name="normálne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64"/>
  <sheetViews>
    <sheetView tabSelected="1" zoomScale="90" zoomScaleNormal="90" workbookViewId="0"/>
  </sheetViews>
  <sheetFormatPr defaultRowHeight="12.75" x14ac:dyDescent="0.2"/>
  <cols>
    <col min="1" max="1" width="6.140625" style="17" customWidth="1"/>
    <col min="2" max="2" width="4" style="16" bestFit="1" customWidth="1"/>
    <col min="3" max="3" width="4.85546875" customWidth="1"/>
    <col min="4" max="4" width="4" customWidth="1"/>
    <col min="5" max="5" width="7.28515625" customWidth="1"/>
    <col min="6" max="6" width="8.5703125" customWidth="1"/>
    <col min="7" max="7" width="55.85546875" customWidth="1"/>
    <col min="8" max="8" width="15.7109375" style="18" customWidth="1"/>
    <col min="9" max="9" width="14" customWidth="1"/>
    <col min="10" max="10" width="7.85546875" customWidth="1"/>
  </cols>
  <sheetData>
    <row r="1" spans="1:10" ht="7.5" customHeight="1" x14ac:dyDescent="0.2"/>
    <row r="2" spans="1:10" hidden="1" x14ac:dyDescent="0.2"/>
    <row r="3" spans="1:10" ht="54" customHeight="1" x14ac:dyDescent="0.2">
      <c r="B3" s="221" t="s">
        <v>762</v>
      </c>
      <c r="C3" s="221"/>
      <c r="D3" s="221"/>
      <c r="E3" s="221"/>
      <c r="F3" s="221"/>
      <c r="G3" s="221"/>
      <c r="H3" s="221"/>
      <c r="I3" s="221"/>
      <c r="J3" s="221"/>
    </row>
    <row r="4" spans="1:10" ht="20.25" customHeight="1" x14ac:dyDescent="0.2">
      <c r="B4" s="228" t="s">
        <v>284</v>
      </c>
      <c r="C4" s="229"/>
      <c r="D4" s="229"/>
      <c r="E4" s="229"/>
      <c r="F4" s="229"/>
      <c r="G4" s="230"/>
      <c r="H4" s="225" t="s">
        <v>574</v>
      </c>
      <c r="I4" s="222" t="s">
        <v>764</v>
      </c>
      <c r="J4" s="245" t="s">
        <v>763</v>
      </c>
    </row>
    <row r="5" spans="1:10" ht="15" customHeight="1" x14ac:dyDescent="0.2">
      <c r="B5" s="231"/>
      <c r="C5" s="232"/>
      <c r="D5" s="232"/>
      <c r="E5" s="232"/>
      <c r="F5" s="232"/>
      <c r="G5" s="233"/>
      <c r="H5" s="226"/>
      <c r="I5" s="223"/>
      <c r="J5" s="246"/>
    </row>
    <row r="6" spans="1:10" ht="12.75" customHeight="1" x14ac:dyDescent="0.2">
      <c r="B6" s="234" t="s">
        <v>111</v>
      </c>
      <c r="C6" s="236" t="s">
        <v>113</v>
      </c>
      <c r="D6" s="238" t="s">
        <v>114</v>
      </c>
      <c r="E6" s="238" t="s">
        <v>116</v>
      </c>
      <c r="F6" s="238" t="s">
        <v>117</v>
      </c>
      <c r="G6" s="243" t="s">
        <v>115</v>
      </c>
      <c r="H6" s="226"/>
      <c r="I6" s="223"/>
      <c r="J6" s="246"/>
    </row>
    <row r="7" spans="1:10" ht="13.5" customHeight="1" thickBot="1" x14ac:dyDescent="0.25">
      <c r="A7" s="248"/>
      <c r="B7" s="235"/>
      <c r="C7" s="237"/>
      <c r="D7" s="239"/>
      <c r="E7" s="239"/>
      <c r="F7" s="239"/>
      <c r="G7" s="244"/>
      <c r="H7" s="227"/>
      <c r="I7" s="224"/>
      <c r="J7" s="247"/>
    </row>
    <row r="8" spans="1:10" ht="17.25" thickTop="1" thickBot="1" x14ac:dyDescent="0.3">
      <c r="A8" s="248"/>
      <c r="B8" s="36">
        <v>1</v>
      </c>
      <c r="C8" s="13">
        <v>100</v>
      </c>
      <c r="D8" s="13"/>
      <c r="E8" s="13"/>
      <c r="F8" s="13"/>
      <c r="G8" s="13" t="s">
        <v>43</v>
      </c>
      <c r="H8" s="19">
        <f>H9</f>
        <v>23369634</v>
      </c>
      <c r="I8" s="19">
        <f>I9</f>
        <v>25701604</v>
      </c>
      <c r="J8" s="201">
        <f t="shared" ref="J8:J70" si="0">I8/H8*100</f>
        <v>109.97863295591192</v>
      </c>
    </row>
    <row r="9" spans="1:10" ht="15.75" thickBot="1" x14ac:dyDescent="0.3">
      <c r="A9" s="248"/>
      <c r="B9" s="29">
        <f>B8+1</f>
        <v>2</v>
      </c>
      <c r="C9" s="32"/>
      <c r="D9" s="14"/>
      <c r="E9" s="14"/>
      <c r="F9" s="14"/>
      <c r="G9" s="14" t="s">
        <v>281</v>
      </c>
      <c r="H9" s="20">
        <f>H18+H13+H10</f>
        <v>23369634</v>
      </c>
      <c r="I9" s="20">
        <f>I18+I13+I10</f>
        <v>25701604</v>
      </c>
      <c r="J9" s="201">
        <f t="shared" si="0"/>
        <v>109.97863295591192</v>
      </c>
    </row>
    <row r="10" spans="1:10" x14ac:dyDescent="0.2">
      <c r="A10" s="248"/>
      <c r="B10" s="29">
        <f>B9+1</f>
        <v>3</v>
      </c>
      <c r="C10" s="33">
        <v>110</v>
      </c>
      <c r="D10" s="8"/>
      <c r="E10" s="8"/>
      <c r="F10" s="8"/>
      <c r="G10" s="8" t="s">
        <v>44</v>
      </c>
      <c r="H10" s="21">
        <f>H11</f>
        <v>15333634</v>
      </c>
      <c r="I10" s="21">
        <f>I11</f>
        <v>17565827</v>
      </c>
      <c r="J10" s="201">
        <f t="shared" si="0"/>
        <v>114.55749498129406</v>
      </c>
    </row>
    <row r="11" spans="1:10" x14ac:dyDescent="0.2">
      <c r="A11" s="248"/>
      <c r="B11" s="29">
        <f t="shared" ref="B11:B96" si="1">B10+1</f>
        <v>4</v>
      </c>
      <c r="C11" s="34"/>
      <c r="D11" s="3">
        <v>111</v>
      </c>
      <c r="E11" s="3"/>
      <c r="F11" s="3"/>
      <c r="G11" s="3" t="s">
        <v>45</v>
      </c>
      <c r="H11" s="22">
        <f>H12</f>
        <v>15333634</v>
      </c>
      <c r="I11" s="22">
        <f>I12</f>
        <v>17565827</v>
      </c>
      <c r="J11" s="201">
        <f t="shared" si="0"/>
        <v>114.55749498129406</v>
      </c>
    </row>
    <row r="12" spans="1:10" x14ac:dyDescent="0.2">
      <c r="A12" s="248"/>
      <c r="B12" s="29">
        <f t="shared" si="1"/>
        <v>5</v>
      </c>
      <c r="C12" s="35"/>
      <c r="D12" s="4"/>
      <c r="E12" s="4">
        <v>111003</v>
      </c>
      <c r="F12" s="4"/>
      <c r="G12" s="4" t="s">
        <v>42</v>
      </c>
      <c r="H12" s="23">
        <f>15150000+102328+55306+26000</f>
        <v>15333634</v>
      </c>
      <c r="I12" s="23">
        <v>17565827</v>
      </c>
      <c r="J12" s="201">
        <f t="shared" si="0"/>
        <v>114.55749498129406</v>
      </c>
    </row>
    <row r="13" spans="1:10" x14ac:dyDescent="0.2">
      <c r="A13" s="248"/>
      <c r="B13" s="29">
        <f t="shared" si="1"/>
        <v>6</v>
      </c>
      <c r="C13" s="8">
        <v>120</v>
      </c>
      <c r="D13" s="8"/>
      <c r="E13" s="8"/>
      <c r="F13" s="8"/>
      <c r="G13" s="8" t="s">
        <v>47</v>
      </c>
      <c r="H13" s="21">
        <f>H14</f>
        <v>5450000</v>
      </c>
      <c r="I13" s="21">
        <f>I14</f>
        <v>5592471</v>
      </c>
      <c r="J13" s="201">
        <f t="shared" si="0"/>
        <v>102.61414678899084</v>
      </c>
    </row>
    <row r="14" spans="1:10" x14ac:dyDescent="0.2">
      <c r="A14" s="248"/>
      <c r="B14" s="29">
        <f t="shared" si="1"/>
        <v>7</v>
      </c>
      <c r="C14" s="3"/>
      <c r="D14" s="3">
        <v>121</v>
      </c>
      <c r="E14" s="3"/>
      <c r="F14" s="3"/>
      <c r="G14" s="3" t="s">
        <v>48</v>
      </c>
      <c r="H14" s="22">
        <f>H17+H16+H15</f>
        <v>5450000</v>
      </c>
      <c r="I14" s="22">
        <f>I17+I16+I15</f>
        <v>5592471</v>
      </c>
      <c r="J14" s="201">
        <f t="shared" si="0"/>
        <v>102.61414678899084</v>
      </c>
    </row>
    <row r="15" spans="1:10" x14ac:dyDescent="0.2">
      <c r="A15" s="248"/>
      <c r="B15" s="29">
        <f t="shared" si="1"/>
        <v>8</v>
      </c>
      <c r="C15" s="4"/>
      <c r="D15" s="4"/>
      <c r="E15" s="4">
        <v>121001</v>
      </c>
      <c r="F15" s="4"/>
      <c r="G15" s="4" t="s">
        <v>46</v>
      </c>
      <c r="H15" s="23">
        <v>565000</v>
      </c>
      <c r="I15" s="23">
        <v>577437</v>
      </c>
      <c r="J15" s="201">
        <f t="shared" si="0"/>
        <v>102.20123893805311</v>
      </c>
    </row>
    <row r="16" spans="1:10" x14ac:dyDescent="0.2">
      <c r="B16" s="29">
        <f t="shared" si="1"/>
        <v>9</v>
      </c>
      <c r="C16" s="4"/>
      <c r="D16" s="4"/>
      <c r="E16" s="4">
        <v>121002</v>
      </c>
      <c r="F16" s="4"/>
      <c r="G16" s="4" t="s">
        <v>49</v>
      </c>
      <c r="H16" s="58">
        <v>4500000</v>
      </c>
      <c r="I16" s="58">
        <v>4623337</v>
      </c>
      <c r="J16" s="201">
        <f t="shared" si="0"/>
        <v>102.74082222222222</v>
      </c>
    </row>
    <row r="17" spans="2:10" x14ac:dyDescent="0.2">
      <c r="B17" s="29">
        <f t="shared" si="1"/>
        <v>10</v>
      </c>
      <c r="C17" s="4"/>
      <c r="D17" s="4"/>
      <c r="E17" s="4">
        <v>121003</v>
      </c>
      <c r="F17" s="4"/>
      <c r="G17" s="4" t="s">
        <v>50</v>
      </c>
      <c r="H17" s="58">
        <v>385000</v>
      </c>
      <c r="I17" s="58">
        <v>391697</v>
      </c>
      <c r="J17" s="201">
        <f t="shared" si="0"/>
        <v>101.73948051948052</v>
      </c>
    </row>
    <row r="18" spans="2:10" x14ac:dyDescent="0.2">
      <c r="B18" s="29">
        <f t="shared" si="1"/>
        <v>11</v>
      </c>
      <c r="C18" s="8">
        <v>130</v>
      </c>
      <c r="D18" s="8"/>
      <c r="E18" s="8"/>
      <c r="F18" s="8"/>
      <c r="G18" s="8" t="s">
        <v>52</v>
      </c>
      <c r="H18" s="21">
        <f>H19</f>
        <v>2586000</v>
      </c>
      <c r="I18" s="21">
        <f>I19</f>
        <v>2543306</v>
      </c>
      <c r="J18" s="201">
        <f t="shared" si="0"/>
        <v>98.349033255993817</v>
      </c>
    </row>
    <row r="19" spans="2:10" x14ac:dyDescent="0.2">
      <c r="B19" s="29">
        <f t="shared" si="1"/>
        <v>12</v>
      </c>
      <c r="C19" s="3"/>
      <c r="D19" s="3">
        <v>133</v>
      </c>
      <c r="E19" s="3"/>
      <c r="F19" s="3"/>
      <c r="G19" s="3" t="s">
        <v>53</v>
      </c>
      <c r="H19" s="22">
        <f>H23+H22+H21+H20</f>
        <v>2586000</v>
      </c>
      <c r="I19" s="22">
        <f>I23+I22+I21+I20</f>
        <v>2543306</v>
      </c>
      <c r="J19" s="201">
        <f t="shared" si="0"/>
        <v>98.349033255993817</v>
      </c>
    </row>
    <row r="20" spans="2:10" x14ac:dyDescent="0.2">
      <c r="B20" s="29">
        <f t="shared" si="1"/>
        <v>13</v>
      </c>
      <c r="C20" s="4"/>
      <c r="D20" s="4"/>
      <c r="E20" s="4">
        <v>133001</v>
      </c>
      <c r="F20" s="4"/>
      <c r="G20" s="4" t="s">
        <v>51</v>
      </c>
      <c r="H20" s="23">
        <v>53000</v>
      </c>
      <c r="I20" s="23">
        <v>50528</v>
      </c>
      <c r="J20" s="201">
        <f t="shared" si="0"/>
        <v>95.335849056603777</v>
      </c>
    </row>
    <row r="21" spans="2:10" x14ac:dyDescent="0.2">
      <c r="B21" s="29">
        <f t="shared" si="1"/>
        <v>14</v>
      </c>
      <c r="C21" s="4"/>
      <c r="D21" s="4"/>
      <c r="E21" s="4">
        <v>133006</v>
      </c>
      <c r="F21" s="4"/>
      <c r="G21" s="4" t="s">
        <v>54</v>
      </c>
      <c r="H21" s="23">
        <f>38000+30000</f>
        <v>68000</v>
      </c>
      <c r="I21" s="23">
        <v>68028</v>
      </c>
      <c r="J21" s="201">
        <f t="shared" si="0"/>
        <v>100.04117647058823</v>
      </c>
    </row>
    <row r="22" spans="2:10" x14ac:dyDescent="0.2">
      <c r="B22" s="29">
        <f t="shared" si="1"/>
        <v>15</v>
      </c>
      <c r="C22" s="4"/>
      <c r="D22" s="4"/>
      <c r="E22" s="4">
        <v>133012</v>
      </c>
      <c r="F22" s="4"/>
      <c r="G22" s="4" t="s">
        <v>55</v>
      </c>
      <c r="H22" s="23">
        <v>65000</v>
      </c>
      <c r="I22" s="23">
        <v>96462</v>
      </c>
      <c r="J22" s="201">
        <f t="shared" si="0"/>
        <v>148.40307692307692</v>
      </c>
    </row>
    <row r="23" spans="2:10" x14ac:dyDescent="0.2">
      <c r="B23" s="29">
        <f t="shared" si="1"/>
        <v>16</v>
      </c>
      <c r="C23" s="4"/>
      <c r="D23" s="4"/>
      <c r="E23" s="4">
        <v>133013</v>
      </c>
      <c r="F23" s="4"/>
      <c r="G23" s="4" t="s">
        <v>56</v>
      </c>
      <c r="H23" s="23">
        <v>2400000</v>
      </c>
      <c r="I23" s="23">
        <v>2328288</v>
      </c>
      <c r="J23" s="201">
        <f t="shared" si="0"/>
        <v>97.012</v>
      </c>
    </row>
    <row r="24" spans="2:10" ht="16.5" thickBot="1" x14ac:dyDescent="0.3">
      <c r="B24" s="29">
        <f t="shared" si="1"/>
        <v>17</v>
      </c>
      <c r="C24" s="13">
        <v>200</v>
      </c>
      <c r="D24" s="13"/>
      <c r="E24" s="13"/>
      <c r="F24" s="13"/>
      <c r="G24" s="13" t="s">
        <v>168</v>
      </c>
      <c r="H24" s="19">
        <f>H357+H343+H328+H313+H298+H282+H268+H257+H242+H180+H105+H98+H61+H57+H25</f>
        <v>3375437</v>
      </c>
      <c r="I24" s="19">
        <f>I357+I343+I328+I313+I298+I282+I268+I257+I242+I180+I105+I98+I61+I57+I25</f>
        <v>3536799</v>
      </c>
      <c r="J24" s="201">
        <f t="shared" si="0"/>
        <v>104.78047731301162</v>
      </c>
    </row>
    <row r="25" spans="2:10" ht="15.75" thickBot="1" x14ac:dyDescent="0.3">
      <c r="B25" s="29">
        <f t="shared" si="1"/>
        <v>18</v>
      </c>
      <c r="C25" s="14"/>
      <c r="D25" s="14"/>
      <c r="E25" s="14"/>
      <c r="F25" s="14"/>
      <c r="G25" s="14" t="s">
        <v>281</v>
      </c>
      <c r="H25" s="20">
        <f>H52+H49+H37+H26</f>
        <v>1574840</v>
      </c>
      <c r="I25" s="20">
        <f>I52+I49+I37+I26</f>
        <v>1698950</v>
      </c>
      <c r="J25" s="201">
        <f t="shared" si="0"/>
        <v>107.88080058926622</v>
      </c>
    </row>
    <row r="26" spans="2:10" x14ac:dyDescent="0.2">
      <c r="B26" s="29">
        <f t="shared" si="1"/>
        <v>19</v>
      </c>
      <c r="C26" s="8">
        <v>210</v>
      </c>
      <c r="D26" s="8"/>
      <c r="E26" s="8"/>
      <c r="F26" s="8"/>
      <c r="G26" s="8" t="s">
        <v>21</v>
      </c>
      <c r="H26" s="21">
        <f>H29+H27</f>
        <v>522059</v>
      </c>
      <c r="I26" s="21">
        <f>I29+I27</f>
        <v>490812</v>
      </c>
      <c r="J26" s="201">
        <f t="shared" si="0"/>
        <v>94.014661178142703</v>
      </c>
    </row>
    <row r="27" spans="2:10" x14ac:dyDescent="0.2">
      <c r="B27" s="29">
        <f t="shared" si="1"/>
        <v>20</v>
      </c>
      <c r="C27" s="3"/>
      <c r="D27" s="3">
        <v>212</v>
      </c>
      <c r="E27" s="3"/>
      <c r="F27" s="3"/>
      <c r="G27" s="3" t="s">
        <v>702</v>
      </c>
      <c r="H27" s="22">
        <f>H28</f>
        <v>59039</v>
      </c>
      <c r="I27" s="22">
        <f>I28</f>
        <v>59039</v>
      </c>
      <c r="J27" s="201">
        <f t="shared" si="0"/>
        <v>100</v>
      </c>
    </row>
    <row r="28" spans="2:10" x14ac:dyDescent="0.2">
      <c r="B28" s="29">
        <f t="shared" si="1"/>
        <v>21</v>
      </c>
      <c r="C28" s="4"/>
      <c r="D28" s="4"/>
      <c r="E28" s="4">
        <v>211003</v>
      </c>
      <c r="F28" s="4"/>
      <c r="G28" s="4" t="s">
        <v>703</v>
      </c>
      <c r="H28" s="23">
        <v>59039</v>
      </c>
      <c r="I28" s="23">
        <v>59039</v>
      </c>
      <c r="J28" s="201">
        <f t="shared" si="0"/>
        <v>100</v>
      </c>
    </row>
    <row r="29" spans="2:10" x14ac:dyDescent="0.2">
      <c r="B29" s="29">
        <f t="shared" si="1"/>
        <v>22</v>
      </c>
      <c r="C29" s="3"/>
      <c r="D29" s="3">
        <v>212</v>
      </c>
      <c r="E29" s="3"/>
      <c r="F29" s="3"/>
      <c r="G29" s="3" t="s">
        <v>22</v>
      </c>
      <c r="H29" s="22">
        <f>H31+H30</f>
        <v>463020</v>
      </c>
      <c r="I29" s="22">
        <f>I31+I30</f>
        <v>431773</v>
      </c>
      <c r="J29" s="201">
        <f t="shared" si="0"/>
        <v>93.251479417735737</v>
      </c>
    </row>
    <row r="30" spans="2:10" x14ac:dyDescent="0.2">
      <c r="B30" s="29">
        <f t="shared" si="1"/>
        <v>23</v>
      </c>
      <c r="C30" s="4"/>
      <c r="D30" s="4"/>
      <c r="E30" s="4">
        <v>212002</v>
      </c>
      <c r="F30" s="4"/>
      <c r="G30" s="4" t="s">
        <v>57</v>
      </c>
      <c r="H30" s="23">
        <v>89090</v>
      </c>
      <c r="I30" s="23">
        <v>108199</v>
      </c>
      <c r="J30" s="201">
        <f t="shared" si="0"/>
        <v>121.44909641935122</v>
      </c>
    </row>
    <row r="31" spans="2:10" x14ac:dyDescent="0.2">
      <c r="B31" s="29">
        <f t="shared" si="1"/>
        <v>24</v>
      </c>
      <c r="C31" s="4"/>
      <c r="D31" s="4"/>
      <c r="E31" s="4">
        <v>212003</v>
      </c>
      <c r="F31" s="4"/>
      <c r="G31" s="4" t="s">
        <v>23</v>
      </c>
      <c r="H31" s="23">
        <f>SUM(H32:H36)</f>
        <v>373930</v>
      </c>
      <c r="I31" s="23">
        <f>SUM(I32:I36)</f>
        <v>323574</v>
      </c>
      <c r="J31" s="201">
        <f t="shared" si="0"/>
        <v>86.533308373224941</v>
      </c>
    </row>
    <row r="32" spans="2:10" x14ac:dyDescent="0.2">
      <c r="B32" s="29">
        <f t="shared" si="1"/>
        <v>25</v>
      </c>
      <c r="C32" s="4"/>
      <c r="D32" s="4"/>
      <c r="E32" s="4"/>
      <c r="F32" s="4"/>
      <c r="G32" s="27" t="s">
        <v>320</v>
      </c>
      <c r="H32" s="73">
        <v>30230</v>
      </c>
      <c r="I32" s="73">
        <f>34231</f>
        <v>34231</v>
      </c>
      <c r="J32" s="201">
        <f t="shared" si="0"/>
        <v>113.23519682434669</v>
      </c>
    </row>
    <row r="33" spans="2:10" x14ac:dyDescent="0.2">
      <c r="B33" s="29">
        <f t="shared" si="1"/>
        <v>26</v>
      </c>
      <c r="C33" s="4"/>
      <c r="D33" s="4"/>
      <c r="E33" s="4"/>
      <c r="F33" s="4"/>
      <c r="G33" s="27" t="s">
        <v>321</v>
      </c>
      <c r="H33" s="73">
        <f>235450+1500-13850</f>
        <v>223100</v>
      </c>
      <c r="I33" s="73">
        <f>194690+1453</f>
        <v>196143</v>
      </c>
      <c r="J33" s="201">
        <f t="shared" si="0"/>
        <v>87.917077543702376</v>
      </c>
    </row>
    <row r="34" spans="2:10" x14ac:dyDescent="0.2">
      <c r="B34" s="29">
        <f t="shared" si="1"/>
        <v>27</v>
      </c>
      <c r="C34" s="4"/>
      <c r="D34" s="4"/>
      <c r="E34" s="4"/>
      <c r="F34" s="4"/>
      <c r="G34" s="27" t="s">
        <v>322</v>
      </c>
      <c r="H34" s="73">
        <v>29200</v>
      </c>
      <c r="I34" s="73">
        <f>29426+328+1</f>
        <v>29755</v>
      </c>
      <c r="J34" s="201">
        <f t="shared" si="0"/>
        <v>101.90068493150686</v>
      </c>
    </row>
    <row r="35" spans="2:10" x14ac:dyDescent="0.2">
      <c r="B35" s="29">
        <f t="shared" si="1"/>
        <v>28</v>
      </c>
      <c r="C35" s="4"/>
      <c r="D35" s="4"/>
      <c r="E35" s="4"/>
      <c r="F35" s="4"/>
      <c r="G35" s="27" t="s">
        <v>323</v>
      </c>
      <c r="H35" s="73">
        <v>81400</v>
      </c>
      <c r="I35" s="73">
        <v>44353</v>
      </c>
      <c r="J35" s="201">
        <f t="shared" si="0"/>
        <v>54.487714987714988</v>
      </c>
    </row>
    <row r="36" spans="2:10" x14ac:dyDescent="0.2">
      <c r="B36" s="29">
        <f t="shared" si="1"/>
        <v>29</v>
      </c>
      <c r="C36" s="4"/>
      <c r="D36" s="4"/>
      <c r="E36" s="4"/>
      <c r="F36" s="4"/>
      <c r="G36" s="27" t="s">
        <v>324</v>
      </c>
      <c r="H36" s="73">
        <v>10000</v>
      </c>
      <c r="I36" s="73">
        <f>2361+698+409+665+14959</f>
        <v>19092</v>
      </c>
      <c r="J36" s="201">
        <f t="shared" si="0"/>
        <v>190.92</v>
      </c>
    </row>
    <row r="37" spans="2:10" x14ac:dyDescent="0.2">
      <c r="B37" s="29">
        <f t="shared" si="1"/>
        <v>30</v>
      </c>
      <c r="C37" s="8">
        <v>220</v>
      </c>
      <c r="D37" s="8"/>
      <c r="E37" s="8"/>
      <c r="F37" s="8"/>
      <c r="G37" s="8" t="s">
        <v>223</v>
      </c>
      <c r="H37" s="21">
        <f>H47+H43+H41+H38</f>
        <v>510600</v>
      </c>
      <c r="I37" s="21">
        <f>I47+I43+I41+I38</f>
        <v>611372</v>
      </c>
      <c r="J37" s="201">
        <f t="shared" si="0"/>
        <v>119.73599686643166</v>
      </c>
    </row>
    <row r="38" spans="2:10" x14ac:dyDescent="0.2">
      <c r="B38" s="29">
        <f t="shared" si="1"/>
        <v>31</v>
      </c>
      <c r="C38" s="3"/>
      <c r="D38" s="3">
        <v>221</v>
      </c>
      <c r="E38" s="3"/>
      <c r="F38" s="3"/>
      <c r="G38" s="3" t="s">
        <v>224</v>
      </c>
      <c r="H38" s="22">
        <f>H40+H39</f>
        <v>289000</v>
      </c>
      <c r="I38" s="22">
        <f>I40+I39</f>
        <v>276620</v>
      </c>
      <c r="J38" s="201">
        <f t="shared" si="0"/>
        <v>95.716262975778548</v>
      </c>
    </row>
    <row r="39" spans="2:10" x14ac:dyDescent="0.2">
      <c r="B39" s="29">
        <f t="shared" si="1"/>
        <v>32</v>
      </c>
      <c r="C39" s="4"/>
      <c r="D39" s="4"/>
      <c r="E39" s="4">
        <v>221004</v>
      </c>
      <c r="F39" s="4"/>
      <c r="G39" s="4" t="s">
        <v>225</v>
      </c>
      <c r="H39" s="23">
        <f>180000-25000+8500+10000</f>
        <v>173500</v>
      </c>
      <c r="I39" s="23">
        <v>174620</v>
      </c>
      <c r="J39" s="201">
        <f t="shared" si="0"/>
        <v>100.64553314121036</v>
      </c>
    </row>
    <row r="40" spans="2:10" x14ac:dyDescent="0.2">
      <c r="B40" s="29">
        <f t="shared" si="1"/>
        <v>33</v>
      </c>
      <c r="C40" s="4"/>
      <c r="D40" s="4"/>
      <c r="E40" s="4">
        <v>221005</v>
      </c>
      <c r="F40" s="4"/>
      <c r="G40" s="28" t="s">
        <v>240</v>
      </c>
      <c r="H40" s="73">
        <v>115500</v>
      </c>
      <c r="I40" s="73">
        <v>102000</v>
      </c>
      <c r="J40" s="201">
        <f t="shared" si="0"/>
        <v>88.311688311688314</v>
      </c>
    </row>
    <row r="41" spans="2:10" x14ac:dyDescent="0.2">
      <c r="B41" s="29">
        <f t="shared" si="1"/>
        <v>34</v>
      </c>
      <c r="C41" s="3"/>
      <c r="D41" s="3">
        <v>222</v>
      </c>
      <c r="E41" s="3"/>
      <c r="F41" s="3"/>
      <c r="G41" s="3" t="s">
        <v>239</v>
      </c>
      <c r="H41" s="22">
        <f>H42</f>
        <v>90000</v>
      </c>
      <c r="I41" s="22">
        <f>I42</f>
        <v>160723</v>
      </c>
      <c r="J41" s="201">
        <f t="shared" si="0"/>
        <v>178.58111111111111</v>
      </c>
    </row>
    <row r="42" spans="2:10" x14ac:dyDescent="0.2">
      <c r="B42" s="29">
        <f t="shared" si="1"/>
        <v>35</v>
      </c>
      <c r="C42" s="4"/>
      <c r="D42" s="4"/>
      <c r="E42" s="4">
        <v>222003</v>
      </c>
      <c r="F42" s="4"/>
      <c r="G42" s="4" t="s">
        <v>238</v>
      </c>
      <c r="H42" s="23">
        <v>90000</v>
      </c>
      <c r="I42" s="23">
        <v>160723</v>
      </c>
      <c r="J42" s="201">
        <f t="shared" si="0"/>
        <v>178.58111111111111</v>
      </c>
    </row>
    <row r="43" spans="2:10" x14ac:dyDescent="0.2">
      <c r="B43" s="29">
        <f t="shared" si="1"/>
        <v>36</v>
      </c>
      <c r="C43" s="3"/>
      <c r="D43" s="3">
        <v>223</v>
      </c>
      <c r="E43" s="3"/>
      <c r="F43" s="3"/>
      <c r="G43" s="3" t="s">
        <v>25</v>
      </c>
      <c r="H43" s="22">
        <f>H44+H45</f>
        <v>130000</v>
      </c>
      <c r="I43" s="22">
        <f>SUM(I44:I46)</f>
        <v>172471</v>
      </c>
      <c r="J43" s="201">
        <f t="shared" si="0"/>
        <v>132.66999999999999</v>
      </c>
    </row>
    <row r="44" spans="2:10" x14ac:dyDescent="0.2">
      <c r="B44" s="29">
        <f t="shared" si="1"/>
        <v>37</v>
      </c>
      <c r="C44" s="4"/>
      <c r="D44" s="4"/>
      <c r="E44" s="4">
        <v>223001</v>
      </c>
      <c r="F44" s="4"/>
      <c r="G44" s="4" t="s">
        <v>26</v>
      </c>
      <c r="H44" s="23">
        <v>80000</v>
      </c>
      <c r="I44" s="23">
        <v>40103</v>
      </c>
      <c r="J44" s="201">
        <f t="shared" si="0"/>
        <v>50.128749999999997</v>
      </c>
    </row>
    <row r="45" spans="2:10" x14ac:dyDescent="0.2">
      <c r="B45" s="29">
        <f t="shared" si="1"/>
        <v>38</v>
      </c>
      <c r="C45" s="4"/>
      <c r="D45" s="4"/>
      <c r="E45" s="4">
        <v>223001</v>
      </c>
      <c r="F45" s="4"/>
      <c r="G45" s="4" t="s">
        <v>739</v>
      </c>
      <c r="H45" s="23">
        <v>50000</v>
      </c>
      <c r="I45" s="23">
        <v>132093</v>
      </c>
      <c r="J45" s="201">
        <f t="shared" si="0"/>
        <v>264.18599999999998</v>
      </c>
    </row>
    <row r="46" spans="2:10" x14ac:dyDescent="0.2">
      <c r="B46" s="29">
        <f t="shared" si="1"/>
        <v>39</v>
      </c>
      <c r="C46" s="4"/>
      <c r="D46" s="4"/>
      <c r="E46" s="4">
        <v>22304</v>
      </c>
      <c r="F46" s="4"/>
      <c r="G46" s="4" t="s">
        <v>769</v>
      </c>
      <c r="H46" s="23"/>
      <c r="I46" s="23">
        <v>275</v>
      </c>
      <c r="J46" s="201"/>
    </row>
    <row r="47" spans="2:10" x14ac:dyDescent="0.2">
      <c r="B47" s="29">
        <f t="shared" si="1"/>
        <v>40</v>
      </c>
      <c r="C47" s="3"/>
      <c r="D47" s="3">
        <v>229</v>
      </c>
      <c r="E47" s="3"/>
      <c r="F47" s="3"/>
      <c r="G47" s="3" t="s">
        <v>39</v>
      </c>
      <c r="H47" s="22">
        <f>H48</f>
        <v>1600</v>
      </c>
      <c r="I47" s="22">
        <f>I48</f>
        <v>1558</v>
      </c>
      <c r="J47" s="201">
        <f t="shared" si="0"/>
        <v>97.375</v>
      </c>
    </row>
    <row r="48" spans="2:10" x14ac:dyDescent="0.2">
      <c r="B48" s="29">
        <f t="shared" si="1"/>
        <v>41</v>
      </c>
      <c r="C48" s="4"/>
      <c r="D48" s="4"/>
      <c r="E48" s="4">
        <v>229005</v>
      </c>
      <c r="F48" s="4"/>
      <c r="G48" s="4" t="s">
        <v>40</v>
      </c>
      <c r="H48" s="23">
        <v>1600</v>
      </c>
      <c r="I48" s="23">
        <v>1558</v>
      </c>
      <c r="J48" s="201">
        <f t="shared" si="0"/>
        <v>97.375</v>
      </c>
    </row>
    <row r="49" spans="1:10" x14ac:dyDescent="0.2">
      <c r="B49" s="29">
        <f t="shared" si="1"/>
        <v>42</v>
      </c>
      <c r="C49" s="8">
        <v>240</v>
      </c>
      <c r="D49" s="8"/>
      <c r="E49" s="8"/>
      <c r="F49" s="8"/>
      <c r="G49" s="8" t="s">
        <v>173</v>
      </c>
      <c r="H49" s="21">
        <f>H50</f>
        <v>2000</v>
      </c>
      <c r="I49" s="21">
        <f>I50</f>
        <v>5938</v>
      </c>
      <c r="J49" s="201">
        <f t="shared" si="0"/>
        <v>296.89999999999998</v>
      </c>
    </row>
    <row r="50" spans="1:10" x14ac:dyDescent="0.2">
      <c r="A50" s="249"/>
      <c r="B50" s="29">
        <f t="shared" si="1"/>
        <v>43</v>
      </c>
      <c r="C50" s="3"/>
      <c r="D50" s="3">
        <v>242</v>
      </c>
      <c r="E50" s="3"/>
      <c r="F50" s="3"/>
      <c r="G50" s="3" t="s">
        <v>172</v>
      </c>
      <c r="H50" s="22">
        <f>H51</f>
        <v>2000</v>
      </c>
      <c r="I50" s="22">
        <f>I51</f>
        <v>5938</v>
      </c>
      <c r="J50" s="201">
        <f t="shared" si="0"/>
        <v>296.89999999999998</v>
      </c>
    </row>
    <row r="51" spans="1:10" x14ac:dyDescent="0.2">
      <c r="A51" s="249"/>
      <c r="B51" s="29">
        <f t="shared" si="1"/>
        <v>44</v>
      </c>
      <c r="C51" s="4"/>
      <c r="D51" s="4"/>
      <c r="E51" s="4">
        <v>242</v>
      </c>
      <c r="F51" s="4"/>
      <c r="G51" s="4" t="s">
        <v>172</v>
      </c>
      <c r="H51" s="23">
        <v>2000</v>
      </c>
      <c r="I51" s="23">
        <f>5896+42</f>
        <v>5938</v>
      </c>
      <c r="J51" s="201">
        <f t="shared" si="0"/>
        <v>296.89999999999998</v>
      </c>
    </row>
    <row r="52" spans="1:10" x14ac:dyDescent="0.2">
      <c r="B52" s="29">
        <f t="shared" si="1"/>
        <v>45</v>
      </c>
      <c r="C52" s="8">
        <v>290</v>
      </c>
      <c r="D52" s="8"/>
      <c r="E52" s="8"/>
      <c r="F52" s="8"/>
      <c r="G52" s="8" t="s">
        <v>174</v>
      </c>
      <c r="H52" s="21">
        <f>H53</f>
        <v>540181</v>
      </c>
      <c r="I52" s="21">
        <f>I53</f>
        <v>590828</v>
      </c>
      <c r="J52" s="201">
        <f t="shared" si="0"/>
        <v>109.37593140077122</v>
      </c>
    </row>
    <row r="53" spans="1:10" x14ac:dyDescent="0.2">
      <c r="A53" s="78"/>
      <c r="B53" s="29">
        <f t="shared" si="1"/>
        <v>46</v>
      </c>
      <c r="C53" s="3"/>
      <c r="D53" s="3">
        <v>292</v>
      </c>
      <c r="E53" s="3"/>
      <c r="F53" s="3"/>
      <c r="G53" s="3" t="s">
        <v>175</v>
      </c>
      <c r="H53" s="22">
        <f>H54+H56+H55</f>
        <v>540181</v>
      </c>
      <c r="I53" s="22">
        <f>I54+I56+I55</f>
        <v>590828</v>
      </c>
      <c r="J53" s="201">
        <f t="shared" si="0"/>
        <v>109.37593140077122</v>
      </c>
    </row>
    <row r="54" spans="1:10" x14ac:dyDescent="0.2">
      <c r="A54" s="78"/>
      <c r="B54" s="29">
        <f t="shared" si="1"/>
        <v>47</v>
      </c>
      <c r="C54" s="4"/>
      <c r="D54" s="4"/>
      <c r="E54" s="4">
        <v>292008</v>
      </c>
      <c r="F54" s="4"/>
      <c r="G54" s="4" t="s">
        <v>176</v>
      </c>
      <c r="H54" s="58">
        <v>300000</v>
      </c>
      <c r="I54" s="58">
        <v>335979</v>
      </c>
      <c r="J54" s="201">
        <f t="shared" si="0"/>
        <v>111.99300000000001</v>
      </c>
    </row>
    <row r="55" spans="1:10" x14ac:dyDescent="0.2">
      <c r="A55" s="78"/>
      <c r="B55" s="29">
        <f t="shared" si="1"/>
        <v>48</v>
      </c>
      <c r="C55" s="4"/>
      <c r="D55" s="4"/>
      <c r="E55" s="4">
        <v>292017</v>
      </c>
      <c r="F55" s="4"/>
      <c r="G55" s="4" t="s">
        <v>532</v>
      </c>
      <c r="H55" s="58">
        <f>102786+19268</f>
        <v>122054</v>
      </c>
      <c r="I55" s="58">
        <v>137488</v>
      </c>
      <c r="J55" s="201">
        <f t="shared" si="0"/>
        <v>112.64522260638734</v>
      </c>
    </row>
    <row r="56" spans="1:10" ht="13.5" thickBot="1" x14ac:dyDescent="0.25">
      <c r="A56" s="78"/>
      <c r="B56" s="29">
        <f t="shared" si="1"/>
        <v>49</v>
      </c>
      <c r="C56" s="4"/>
      <c r="D56" s="4"/>
      <c r="E56" s="4">
        <v>292027</v>
      </c>
      <c r="F56" s="4"/>
      <c r="G56" s="4" t="s">
        <v>38</v>
      </c>
      <c r="H56" s="58">
        <f>100000-7173+25300</f>
        <v>118127</v>
      </c>
      <c r="I56" s="58">
        <f>590828-I55-I54</f>
        <v>117361</v>
      </c>
      <c r="J56" s="201">
        <f t="shared" si="0"/>
        <v>99.351545370660389</v>
      </c>
    </row>
    <row r="57" spans="1:10" ht="15.75" thickBot="1" x14ac:dyDescent="0.3">
      <c r="B57" s="29">
        <f t="shared" si="1"/>
        <v>50</v>
      </c>
      <c r="C57" s="14">
        <v>1</v>
      </c>
      <c r="D57" s="14"/>
      <c r="E57" s="14"/>
      <c r="F57" s="14"/>
      <c r="G57" s="14" t="s">
        <v>312</v>
      </c>
      <c r="H57" s="20">
        <f t="shared" ref="H57:I59" si="2">H58</f>
        <v>3764</v>
      </c>
      <c r="I57" s="20">
        <f t="shared" si="2"/>
        <v>3844</v>
      </c>
      <c r="J57" s="201">
        <f t="shared" si="0"/>
        <v>102.12539851222104</v>
      </c>
    </row>
    <row r="58" spans="1:10" x14ac:dyDescent="0.2">
      <c r="B58" s="29">
        <f t="shared" si="1"/>
        <v>51</v>
      </c>
      <c r="C58" s="8">
        <v>220</v>
      </c>
      <c r="D58" s="8"/>
      <c r="E58" s="8"/>
      <c r="F58" s="8"/>
      <c r="G58" s="8" t="s">
        <v>223</v>
      </c>
      <c r="H58" s="21">
        <f t="shared" si="2"/>
        <v>3764</v>
      </c>
      <c r="I58" s="21">
        <f t="shared" si="2"/>
        <v>3844</v>
      </c>
      <c r="J58" s="201">
        <f t="shared" si="0"/>
        <v>102.12539851222104</v>
      </c>
    </row>
    <row r="59" spans="1:10" x14ac:dyDescent="0.2">
      <c r="B59" s="29">
        <f t="shared" si="1"/>
        <v>52</v>
      </c>
      <c r="C59" s="3"/>
      <c r="D59" s="3">
        <v>223</v>
      </c>
      <c r="E59" s="3"/>
      <c r="F59" s="3"/>
      <c r="G59" s="3" t="s">
        <v>25</v>
      </c>
      <c r="H59" s="22">
        <f t="shared" si="2"/>
        <v>3764</v>
      </c>
      <c r="I59" s="22">
        <f t="shared" si="2"/>
        <v>3844</v>
      </c>
      <c r="J59" s="201">
        <f t="shared" si="0"/>
        <v>102.12539851222104</v>
      </c>
    </row>
    <row r="60" spans="1:10" ht="13.5" thickBot="1" x14ac:dyDescent="0.25">
      <c r="B60" s="29">
        <f t="shared" si="1"/>
        <v>53</v>
      </c>
      <c r="C60" s="4"/>
      <c r="D60" s="4"/>
      <c r="E60" s="4">
        <v>223002</v>
      </c>
      <c r="F60" s="4"/>
      <c r="G60" s="4" t="s">
        <v>67</v>
      </c>
      <c r="H60" s="23">
        <f>2370+1394</f>
        <v>3764</v>
      </c>
      <c r="I60" s="23">
        <f>3764+80</f>
        <v>3844</v>
      </c>
      <c r="J60" s="201">
        <f t="shared" si="0"/>
        <v>102.12539851222104</v>
      </c>
    </row>
    <row r="61" spans="1:10" ht="15.75" thickBot="1" x14ac:dyDescent="0.3">
      <c r="B61" s="29">
        <f t="shared" si="1"/>
        <v>54</v>
      </c>
      <c r="C61" s="14">
        <v>2</v>
      </c>
      <c r="D61" s="14"/>
      <c r="E61" s="14"/>
      <c r="F61" s="14"/>
      <c r="G61" s="14" t="s">
        <v>256</v>
      </c>
      <c r="H61" s="20">
        <f>H62+H73+H96</f>
        <v>526040</v>
      </c>
      <c r="I61" s="20">
        <f>I62+I73+I94+I96</f>
        <v>526324</v>
      </c>
      <c r="J61" s="201">
        <f t="shared" si="0"/>
        <v>100.0539882898639</v>
      </c>
    </row>
    <row r="62" spans="1:10" x14ac:dyDescent="0.2">
      <c r="B62" s="29">
        <f t="shared" si="1"/>
        <v>55</v>
      </c>
      <c r="C62" s="3">
        <v>210</v>
      </c>
      <c r="D62" s="3"/>
      <c r="E62" s="3"/>
      <c r="F62" s="3"/>
      <c r="G62" s="3" t="s">
        <v>21</v>
      </c>
      <c r="H62" s="22">
        <f>H63</f>
        <v>88640</v>
      </c>
      <c r="I62" s="22">
        <f>I63</f>
        <v>80454</v>
      </c>
      <c r="J62" s="201">
        <f t="shared" si="0"/>
        <v>90.764891696750908</v>
      </c>
    </row>
    <row r="63" spans="1:10" x14ac:dyDescent="0.2">
      <c r="B63" s="29">
        <f t="shared" si="1"/>
        <v>56</v>
      </c>
      <c r="C63" s="4"/>
      <c r="D63" s="4">
        <v>212</v>
      </c>
      <c r="E63" s="4"/>
      <c r="F63" s="4"/>
      <c r="G63" s="4" t="s">
        <v>22</v>
      </c>
      <c r="H63" s="23">
        <f>H64+H67</f>
        <v>88640</v>
      </c>
      <c r="I63" s="23">
        <f>I64+I67</f>
        <v>80454</v>
      </c>
      <c r="J63" s="201">
        <f t="shared" si="0"/>
        <v>90.764891696750908</v>
      </c>
    </row>
    <row r="64" spans="1:10" x14ac:dyDescent="0.2">
      <c r="B64" s="29">
        <f t="shared" si="1"/>
        <v>57</v>
      </c>
      <c r="C64" s="5"/>
      <c r="D64" s="5"/>
      <c r="E64" s="87">
        <v>212002</v>
      </c>
      <c r="F64" s="87"/>
      <c r="G64" s="97" t="s">
        <v>57</v>
      </c>
      <c r="H64" s="88">
        <f>SUM(H65:H66)</f>
        <v>500</v>
      </c>
      <c r="I64" s="88">
        <f>SUM(I65:I66)</f>
        <v>863</v>
      </c>
      <c r="J64" s="201">
        <f t="shared" si="0"/>
        <v>172.6</v>
      </c>
    </row>
    <row r="65" spans="2:10" x14ac:dyDescent="0.2">
      <c r="B65" s="29">
        <f t="shared" si="1"/>
        <v>58</v>
      </c>
      <c r="C65" s="5"/>
      <c r="D65" s="5"/>
      <c r="E65" s="5"/>
      <c r="F65" s="5"/>
      <c r="G65" s="98" t="s">
        <v>259</v>
      </c>
      <c r="H65" s="24">
        <v>200</v>
      </c>
      <c r="I65" s="24">
        <v>163</v>
      </c>
      <c r="J65" s="201">
        <f t="shared" si="0"/>
        <v>81.5</v>
      </c>
    </row>
    <row r="66" spans="2:10" x14ac:dyDescent="0.2">
      <c r="B66" s="29">
        <f t="shared" si="1"/>
        <v>59</v>
      </c>
      <c r="C66" s="5"/>
      <c r="D66" s="5"/>
      <c r="E66" s="5"/>
      <c r="F66" s="5"/>
      <c r="G66" s="98" t="s">
        <v>263</v>
      </c>
      <c r="H66" s="24">
        <v>300</v>
      </c>
      <c r="I66" s="24">
        <v>700</v>
      </c>
      <c r="J66" s="201">
        <f t="shared" si="0"/>
        <v>233.33333333333334</v>
      </c>
    </row>
    <row r="67" spans="2:10" x14ac:dyDescent="0.2">
      <c r="B67" s="29">
        <f t="shared" si="1"/>
        <v>60</v>
      </c>
      <c r="C67" s="5"/>
      <c r="D67" s="5"/>
      <c r="E67" s="87">
        <v>212003</v>
      </c>
      <c r="F67" s="87"/>
      <c r="G67" s="97" t="s">
        <v>23</v>
      </c>
      <c r="H67" s="88">
        <f>SUM(H68:H72)</f>
        <v>88140</v>
      </c>
      <c r="I67" s="88">
        <f>SUM(I68:I72)</f>
        <v>79591</v>
      </c>
      <c r="J67" s="201">
        <f t="shared" si="0"/>
        <v>90.300658044020878</v>
      </c>
    </row>
    <row r="68" spans="2:10" x14ac:dyDescent="0.2">
      <c r="B68" s="29">
        <f t="shared" si="1"/>
        <v>61</v>
      </c>
      <c r="C68" s="5"/>
      <c r="D68" s="5"/>
      <c r="E68" s="5"/>
      <c r="F68" s="5"/>
      <c r="G68" s="98" t="s">
        <v>380</v>
      </c>
      <c r="H68" s="24">
        <v>20500</v>
      </c>
      <c r="I68" s="24">
        <v>19130</v>
      </c>
      <c r="J68" s="201">
        <f t="shared" si="0"/>
        <v>93.317073170731717</v>
      </c>
    </row>
    <row r="69" spans="2:10" x14ac:dyDescent="0.2">
      <c r="B69" s="29">
        <f t="shared" si="1"/>
        <v>62</v>
      </c>
      <c r="C69" s="5"/>
      <c r="D69" s="5"/>
      <c r="E69" s="5"/>
      <c r="F69" s="5"/>
      <c r="G69" s="98" t="s">
        <v>260</v>
      </c>
      <c r="H69" s="24">
        <v>15500</v>
      </c>
      <c r="I69" s="24">
        <v>11537</v>
      </c>
      <c r="J69" s="201">
        <f t="shared" si="0"/>
        <v>74.432258064516134</v>
      </c>
    </row>
    <row r="70" spans="2:10" x14ac:dyDescent="0.2">
      <c r="B70" s="29">
        <f t="shared" si="1"/>
        <v>63</v>
      </c>
      <c r="C70" s="5"/>
      <c r="D70" s="5"/>
      <c r="E70" s="5"/>
      <c r="F70" s="5"/>
      <c r="G70" s="98" t="s">
        <v>212</v>
      </c>
      <c r="H70" s="24">
        <v>50000</v>
      </c>
      <c r="I70" s="24">
        <v>46859</v>
      </c>
      <c r="J70" s="201">
        <f t="shared" si="0"/>
        <v>93.718000000000004</v>
      </c>
    </row>
    <row r="71" spans="2:10" x14ac:dyDescent="0.2">
      <c r="B71" s="29">
        <f t="shared" si="1"/>
        <v>64</v>
      </c>
      <c r="C71" s="5"/>
      <c r="D71" s="5"/>
      <c r="E71" s="5"/>
      <c r="F71" s="5"/>
      <c r="G71" s="98" t="s">
        <v>258</v>
      </c>
      <c r="H71" s="24">
        <v>40</v>
      </c>
      <c r="I71" s="24">
        <v>36</v>
      </c>
      <c r="J71" s="201">
        <f t="shared" ref="J71:J127" si="3">I71/H71*100</f>
        <v>90</v>
      </c>
    </row>
    <row r="72" spans="2:10" x14ac:dyDescent="0.2">
      <c r="B72" s="29">
        <f t="shared" si="1"/>
        <v>65</v>
      </c>
      <c r="C72" s="5"/>
      <c r="D72" s="5"/>
      <c r="E72" s="5"/>
      <c r="F72" s="5"/>
      <c r="G72" s="98" t="s">
        <v>384</v>
      </c>
      <c r="H72" s="24">
        <f>5100-3000</f>
        <v>2100</v>
      </c>
      <c r="I72" s="24">
        <v>2029</v>
      </c>
      <c r="J72" s="201">
        <f t="shared" si="3"/>
        <v>96.61904761904762</v>
      </c>
    </row>
    <row r="73" spans="2:10" x14ac:dyDescent="0.2">
      <c r="B73" s="29">
        <f t="shared" si="1"/>
        <v>66</v>
      </c>
      <c r="C73" s="3">
        <v>220</v>
      </c>
      <c r="D73" s="3"/>
      <c r="E73" s="3"/>
      <c r="F73" s="3"/>
      <c r="G73" s="3" t="s">
        <v>223</v>
      </c>
      <c r="H73" s="22">
        <f>H75+H74</f>
        <v>416200</v>
      </c>
      <c r="I73" s="22">
        <f>I75+I74</f>
        <v>419224</v>
      </c>
      <c r="J73" s="201">
        <f t="shared" si="3"/>
        <v>100.72657376261414</v>
      </c>
    </row>
    <row r="74" spans="2:10" x14ac:dyDescent="0.2">
      <c r="B74" s="29">
        <f t="shared" si="1"/>
        <v>67</v>
      </c>
      <c r="C74" s="3"/>
      <c r="D74" s="4">
        <v>222</v>
      </c>
      <c r="E74" s="3"/>
      <c r="F74" s="3"/>
      <c r="G74" s="4" t="s">
        <v>238</v>
      </c>
      <c r="H74" s="23">
        <v>300</v>
      </c>
      <c r="I74" s="23">
        <v>1232</v>
      </c>
      <c r="J74" s="201">
        <f t="shared" si="3"/>
        <v>410.66666666666663</v>
      </c>
    </row>
    <row r="75" spans="2:10" x14ac:dyDescent="0.2">
      <c r="B75" s="29">
        <f t="shared" si="1"/>
        <v>68</v>
      </c>
      <c r="C75" s="4"/>
      <c r="D75" s="4">
        <v>223</v>
      </c>
      <c r="E75" s="4"/>
      <c r="F75" s="4"/>
      <c r="G75" s="4" t="s">
        <v>25</v>
      </c>
      <c r="H75" s="23">
        <f>H76</f>
        <v>415900</v>
      </c>
      <c r="I75" s="23">
        <f>I76</f>
        <v>417992</v>
      </c>
      <c r="J75" s="201">
        <f t="shared" si="3"/>
        <v>100.50300553017553</v>
      </c>
    </row>
    <row r="76" spans="2:10" x14ac:dyDescent="0.2">
      <c r="B76" s="29">
        <f t="shared" si="1"/>
        <v>69</v>
      </c>
      <c r="C76" s="5"/>
      <c r="D76" s="5"/>
      <c r="E76" s="87">
        <v>223001</v>
      </c>
      <c r="F76" s="87"/>
      <c r="G76" s="97" t="s">
        <v>26</v>
      </c>
      <c r="H76" s="88">
        <f>SUM(H77:H93)</f>
        <v>415900</v>
      </c>
      <c r="I76" s="88">
        <f>SUM(I77:I93)</f>
        <v>417992</v>
      </c>
      <c r="J76" s="201">
        <f t="shared" si="3"/>
        <v>100.50300553017553</v>
      </c>
    </row>
    <row r="77" spans="2:10" ht="12.75" customHeight="1" x14ac:dyDescent="0.2">
      <c r="B77" s="29">
        <f t="shared" si="1"/>
        <v>70</v>
      </c>
      <c r="C77" s="5"/>
      <c r="D77" s="5"/>
      <c r="E77" s="5"/>
      <c r="F77" s="240" t="s">
        <v>409</v>
      </c>
      <c r="G77" s="98" t="s">
        <v>381</v>
      </c>
      <c r="H77" s="24">
        <v>3000</v>
      </c>
      <c r="I77" s="24">
        <v>1486</v>
      </c>
      <c r="J77" s="201">
        <f t="shared" si="3"/>
        <v>49.533333333333331</v>
      </c>
    </row>
    <row r="78" spans="2:10" x14ac:dyDescent="0.2">
      <c r="B78" s="29">
        <f t="shared" si="1"/>
        <v>71</v>
      </c>
      <c r="C78" s="5"/>
      <c r="D78" s="5"/>
      <c r="E78" s="5"/>
      <c r="F78" s="241"/>
      <c r="G78" s="98" t="s">
        <v>382</v>
      </c>
      <c r="H78" s="24">
        <v>500</v>
      </c>
      <c r="I78" s="24">
        <v>1173</v>
      </c>
      <c r="J78" s="201">
        <f t="shared" si="3"/>
        <v>234.60000000000002</v>
      </c>
    </row>
    <row r="79" spans="2:10" x14ac:dyDescent="0.2">
      <c r="B79" s="29">
        <f t="shared" si="1"/>
        <v>72</v>
      </c>
      <c r="C79" s="5"/>
      <c r="D79" s="5"/>
      <c r="E79" s="5"/>
      <c r="F79" s="241"/>
      <c r="G79" s="98" t="s">
        <v>383</v>
      </c>
      <c r="H79" s="24">
        <v>8000</v>
      </c>
      <c r="I79" s="24">
        <v>8740</v>
      </c>
      <c r="J79" s="201">
        <f t="shared" si="3"/>
        <v>109.25</v>
      </c>
    </row>
    <row r="80" spans="2:10" x14ac:dyDescent="0.2">
      <c r="B80" s="29">
        <f t="shared" si="1"/>
        <v>73</v>
      </c>
      <c r="C80" s="5"/>
      <c r="D80" s="5"/>
      <c r="E80" s="5"/>
      <c r="F80" s="241"/>
      <c r="G80" s="98" t="s">
        <v>384</v>
      </c>
      <c r="H80" s="24">
        <v>1350</v>
      </c>
      <c r="I80" s="24">
        <v>1686</v>
      </c>
      <c r="J80" s="201">
        <f t="shared" si="3"/>
        <v>124.8888888888889</v>
      </c>
    </row>
    <row r="81" spans="2:10" x14ac:dyDescent="0.2">
      <c r="B81" s="29">
        <f t="shared" si="1"/>
        <v>74</v>
      </c>
      <c r="C81" s="5"/>
      <c r="D81" s="5"/>
      <c r="E81" s="5"/>
      <c r="F81" s="241"/>
      <c r="G81" s="98" t="s">
        <v>202</v>
      </c>
      <c r="H81" s="24">
        <v>1000</v>
      </c>
      <c r="I81" s="24">
        <v>1435</v>
      </c>
      <c r="J81" s="201">
        <f t="shared" si="3"/>
        <v>143.5</v>
      </c>
    </row>
    <row r="82" spans="2:10" x14ac:dyDescent="0.2">
      <c r="B82" s="29">
        <f t="shared" si="1"/>
        <v>75</v>
      </c>
      <c r="C82" s="5"/>
      <c r="D82" s="5"/>
      <c r="E82" s="5"/>
      <c r="F82" s="241"/>
      <c r="G82" s="98" t="s">
        <v>261</v>
      </c>
      <c r="H82" s="24">
        <f>55200-16650</f>
        <v>38550</v>
      </c>
      <c r="I82" s="24">
        <v>31633</v>
      </c>
      <c r="J82" s="201">
        <f t="shared" si="3"/>
        <v>82.057068741893644</v>
      </c>
    </row>
    <row r="83" spans="2:10" x14ac:dyDescent="0.2">
      <c r="B83" s="29">
        <f t="shared" si="1"/>
        <v>76</v>
      </c>
      <c r="C83" s="5"/>
      <c r="D83" s="5"/>
      <c r="E83" s="5"/>
      <c r="F83" s="241"/>
      <c r="G83" s="98" t="s">
        <v>380</v>
      </c>
      <c r="H83" s="24">
        <v>1000</v>
      </c>
      <c r="I83" s="24">
        <v>702</v>
      </c>
      <c r="J83" s="201">
        <f t="shared" si="3"/>
        <v>70.199999999999989</v>
      </c>
    </row>
    <row r="84" spans="2:10" x14ac:dyDescent="0.2">
      <c r="B84" s="29">
        <f t="shared" si="1"/>
        <v>77</v>
      </c>
      <c r="C84" s="5"/>
      <c r="D84" s="5"/>
      <c r="E84" s="5"/>
      <c r="F84" s="241"/>
      <c r="G84" s="98" t="s">
        <v>262</v>
      </c>
      <c r="H84" s="24">
        <v>3000</v>
      </c>
      <c r="I84" s="24">
        <v>3733</v>
      </c>
      <c r="J84" s="201">
        <f t="shared" si="3"/>
        <v>124.43333333333332</v>
      </c>
    </row>
    <row r="85" spans="2:10" x14ac:dyDescent="0.2">
      <c r="B85" s="29">
        <f t="shared" si="1"/>
        <v>78</v>
      </c>
      <c r="C85" s="5"/>
      <c r="D85" s="5"/>
      <c r="E85" s="5"/>
      <c r="F85" s="241"/>
      <c r="G85" s="98" t="s">
        <v>407</v>
      </c>
      <c r="H85" s="24">
        <v>1000</v>
      </c>
      <c r="I85" s="24">
        <v>688</v>
      </c>
      <c r="J85" s="201">
        <f t="shared" si="3"/>
        <v>68.8</v>
      </c>
    </row>
    <row r="86" spans="2:10" x14ac:dyDescent="0.2">
      <c r="B86" s="29">
        <f t="shared" si="1"/>
        <v>79</v>
      </c>
      <c r="C86" s="5"/>
      <c r="D86" s="5"/>
      <c r="E86" s="5"/>
      <c r="F86" s="241"/>
      <c r="G86" s="98" t="s">
        <v>212</v>
      </c>
      <c r="H86" s="24">
        <v>5000</v>
      </c>
      <c r="I86" s="24">
        <v>4918</v>
      </c>
      <c r="J86" s="201">
        <f t="shared" si="3"/>
        <v>98.36</v>
      </c>
    </row>
    <row r="87" spans="2:10" x14ac:dyDescent="0.2">
      <c r="B87" s="29">
        <f t="shared" si="1"/>
        <v>80</v>
      </c>
      <c r="C87" s="5"/>
      <c r="D87" s="5"/>
      <c r="E87" s="5"/>
      <c r="F87" s="242"/>
      <c r="G87" s="98" t="s">
        <v>408</v>
      </c>
      <c r="H87" s="24">
        <f>10300-300</f>
        <v>10000</v>
      </c>
      <c r="I87" s="24">
        <v>9729</v>
      </c>
      <c r="J87" s="201">
        <f t="shared" si="3"/>
        <v>97.289999999999992</v>
      </c>
    </row>
    <row r="88" spans="2:10" x14ac:dyDescent="0.2">
      <c r="B88" s="29">
        <f t="shared" si="1"/>
        <v>81</v>
      </c>
      <c r="C88" s="5"/>
      <c r="D88" s="5"/>
      <c r="E88" s="5"/>
      <c r="F88" s="5"/>
      <c r="G88" s="98" t="s">
        <v>260</v>
      </c>
      <c r="H88" s="24">
        <v>144000</v>
      </c>
      <c r="I88" s="24">
        <v>150268</v>
      </c>
      <c r="J88" s="201">
        <f t="shared" si="3"/>
        <v>104.35277777777779</v>
      </c>
    </row>
    <row r="89" spans="2:10" x14ac:dyDescent="0.2">
      <c r="B89" s="29">
        <f t="shared" si="1"/>
        <v>82</v>
      </c>
      <c r="C89" s="5"/>
      <c r="D89" s="5"/>
      <c r="E89" s="5"/>
      <c r="F89" s="5"/>
      <c r="G89" s="98" t="s">
        <v>212</v>
      </c>
      <c r="H89" s="24">
        <v>17000</v>
      </c>
      <c r="I89" s="24">
        <v>11600</v>
      </c>
      <c r="J89" s="201">
        <f t="shared" si="3"/>
        <v>68.235294117647058</v>
      </c>
    </row>
    <row r="90" spans="2:10" x14ac:dyDescent="0.2">
      <c r="B90" s="29">
        <f t="shared" si="1"/>
        <v>83</v>
      </c>
      <c r="C90" s="5"/>
      <c r="D90" s="5"/>
      <c r="E90" s="5"/>
      <c r="F90" s="5"/>
      <c r="G90" s="98" t="s">
        <v>1</v>
      </c>
      <c r="H90" s="24">
        <f>65000+60000</f>
        <v>125000</v>
      </c>
      <c r="I90" s="24">
        <v>132825</v>
      </c>
      <c r="J90" s="201">
        <f t="shared" si="3"/>
        <v>106.26</v>
      </c>
    </row>
    <row r="91" spans="2:10" x14ac:dyDescent="0.2">
      <c r="B91" s="29">
        <f t="shared" si="1"/>
        <v>84</v>
      </c>
      <c r="C91" s="5"/>
      <c r="D91" s="5"/>
      <c r="E91" s="5"/>
      <c r="F91" s="5"/>
      <c r="G91" s="98" t="s">
        <v>258</v>
      </c>
      <c r="H91" s="24">
        <v>12500</v>
      </c>
      <c r="I91" s="24">
        <v>11300</v>
      </c>
      <c r="J91" s="201">
        <f t="shared" si="3"/>
        <v>90.4</v>
      </c>
    </row>
    <row r="92" spans="2:10" x14ac:dyDescent="0.2">
      <c r="B92" s="29">
        <f t="shared" si="1"/>
        <v>85</v>
      </c>
      <c r="C92" s="5"/>
      <c r="D92" s="5"/>
      <c r="E92" s="5"/>
      <c r="F92" s="5"/>
      <c r="G92" s="98" t="s">
        <v>259</v>
      </c>
      <c r="H92" s="24">
        <v>40000</v>
      </c>
      <c r="I92" s="24">
        <v>26076</v>
      </c>
      <c r="J92" s="201">
        <f t="shared" si="3"/>
        <v>65.19</v>
      </c>
    </row>
    <row r="93" spans="2:10" x14ac:dyDescent="0.2">
      <c r="B93" s="29">
        <f t="shared" si="1"/>
        <v>86</v>
      </c>
      <c r="C93" s="5"/>
      <c r="D93" s="5"/>
      <c r="E93" s="5"/>
      <c r="F93" s="5"/>
      <c r="G93" s="98" t="s">
        <v>263</v>
      </c>
      <c r="H93" s="24">
        <v>5000</v>
      </c>
      <c r="I93" s="24">
        <v>20000</v>
      </c>
      <c r="J93" s="201">
        <f t="shared" si="3"/>
        <v>400</v>
      </c>
    </row>
    <row r="94" spans="2:10" x14ac:dyDescent="0.2">
      <c r="B94" s="29">
        <f t="shared" si="1"/>
        <v>87</v>
      </c>
      <c r="C94" s="12">
        <v>240</v>
      </c>
      <c r="D94" s="12"/>
      <c r="E94" s="12"/>
      <c r="F94" s="12"/>
      <c r="G94" s="12" t="s">
        <v>173</v>
      </c>
      <c r="H94" s="49">
        <f>H95</f>
        <v>0</v>
      </c>
      <c r="I94" s="49">
        <f>I95</f>
        <v>27</v>
      </c>
      <c r="J94" s="202">
        <v>0</v>
      </c>
    </row>
    <row r="95" spans="2:10" x14ac:dyDescent="0.2">
      <c r="B95" s="29">
        <f t="shared" si="1"/>
        <v>88</v>
      </c>
      <c r="C95" s="4"/>
      <c r="D95" s="4"/>
      <c r="E95" s="4">
        <v>242</v>
      </c>
      <c r="F95" s="4"/>
      <c r="G95" s="4" t="s">
        <v>172</v>
      </c>
      <c r="H95" s="23">
        <v>0</v>
      </c>
      <c r="I95" s="23">
        <v>27</v>
      </c>
      <c r="J95" s="201">
        <v>0</v>
      </c>
    </row>
    <row r="96" spans="2:10" x14ac:dyDescent="0.2">
      <c r="B96" s="29">
        <f t="shared" si="1"/>
        <v>89</v>
      </c>
      <c r="C96" s="12">
        <v>290</v>
      </c>
      <c r="D96" s="12"/>
      <c r="E96" s="12"/>
      <c r="F96" s="12"/>
      <c r="G96" s="12" t="s">
        <v>174</v>
      </c>
      <c r="H96" s="49">
        <f>H97</f>
        <v>21200</v>
      </c>
      <c r="I96" s="49">
        <f>I97</f>
        <v>26619</v>
      </c>
      <c r="J96" s="202">
        <f t="shared" ref="J96" si="4">I96/H96*100</f>
        <v>125.56132075471697</v>
      </c>
    </row>
    <row r="97" spans="2:10" ht="13.5" thickBot="1" x14ac:dyDescent="0.25">
      <c r="B97" s="29">
        <f t="shared" ref="B97:B103" si="5">B96+1</f>
        <v>90</v>
      </c>
      <c r="C97" s="5"/>
      <c r="D97" s="5"/>
      <c r="E97" s="5"/>
      <c r="F97" s="5"/>
      <c r="G97" s="99" t="s">
        <v>325</v>
      </c>
      <c r="H97" s="24">
        <f>2050+19150</f>
        <v>21200</v>
      </c>
      <c r="I97" s="24">
        <f>1108+4527+10751+8835+1400-2</f>
        <v>26619</v>
      </c>
      <c r="J97" s="201">
        <f t="shared" si="3"/>
        <v>125.56132075471697</v>
      </c>
    </row>
    <row r="98" spans="2:10" ht="15.75" thickBot="1" x14ac:dyDescent="0.3">
      <c r="B98" s="29">
        <f t="shared" si="5"/>
        <v>91</v>
      </c>
      <c r="C98" s="14">
        <v>3</v>
      </c>
      <c r="D98" s="14"/>
      <c r="E98" s="14"/>
      <c r="F98" s="14"/>
      <c r="G98" s="14" t="s">
        <v>268</v>
      </c>
      <c r="H98" s="20">
        <f>H99+H102</f>
        <v>22161</v>
      </c>
      <c r="I98" s="20">
        <f>I99+I102</f>
        <v>20481</v>
      </c>
      <c r="J98" s="201">
        <f t="shared" si="3"/>
        <v>92.419114660890756</v>
      </c>
    </row>
    <row r="99" spans="2:10" x14ac:dyDescent="0.2">
      <c r="B99" s="29">
        <f t="shared" si="5"/>
        <v>92</v>
      </c>
      <c r="C99" s="8">
        <v>220</v>
      </c>
      <c r="D99" s="8"/>
      <c r="E99" s="8"/>
      <c r="F99" s="8"/>
      <c r="G99" s="8" t="s">
        <v>223</v>
      </c>
      <c r="H99" s="21">
        <f>H100</f>
        <v>20500</v>
      </c>
      <c r="I99" s="21">
        <f>I100</f>
        <v>18818</v>
      </c>
      <c r="J99" s="201">
        <f t="shared" si="3"/>
        <v>91.795121951219514</v>
      </c>
    </row>
    <row r="100" spans="2:10" x14ac:dyDescent="0.2">
      <c r="B100" s="29">
        <f t="shared" si="5"/>
        <v>93</v>
      </c>
      <c r="C100" s="3"/>
      <c r="D100" s="3">
        <v>223</v>
      </c>
      <c r="E100" s="3"/>
      <c r="F100" s="3"/>
      <c r="G100" s="3" t="s">
        <v>25</v>
      </c>
      <c r="H100" s="22">
        <f>H101</f>
        <v>20500</v>
      </c>
      <c r="I100" s="22">
        <f>I101</f>
        <v>18818</v>
      </c>
      <c r="J100" s="201">
        <f t="shared" si="3"/>
        <v>91.795121951219514</v>
      </c>
    </row>
    <row r="101" spans="2:10" x14ac:dyDescent="0.2">
      <c r="B101" s="29">
        <f t="shared" si="5"/>
        <v>94</v>
      </c>
      <c r="C101" s="4"/>
      <c r="D101" s="4"/>
      <c r="E101" s="4">
        <v>223002</v>
      </c>
      <c r="F101" s="4"/>
      <c r="G101" s="4" t="s">
        <v>67</v>
      </c>
      <c r="H101" s="23">
        <v>20500</v>
      </c>
      <c r="I101" s="23">
        <v>18818</v>
      </c>
      <c r="J101" s="201">
        <f t="shared" si="3"/>
        <v>91.795121951219514</v>
      </c>
    </row>
    <row r="102" spans="2:10" x14ac:dyDescent="0.2">
      <c r="B102" s="29">
        <f t="shared" si="5"/>
        <v>95</v>
      </c>
      <c r="C102" s="8">
        <v>290</v>
      </c>
      <c r="D102" s="8"/>
      <c r="E102" s="8"/>
      <c r="F102" s="8"/>
      <c r="G102" s="8" t="s">
        <v>174</v>
      </c>
      <c r="H102" s="21">
        <f>H103</f>
        <v>1661</v>
      </c>
      <c r="I102" s="21">
        <f>I103</f>
        <v>1663</v>
      </c>
      <c r="J102" s="201">
        <f t="shared" si="3"/>
        <v>100.12040939193257</v>
      </c>
    </row>
    <row r="103" spans="2:10" x14ac:dyDescent="0.2">
      <c r="B103" s="29">
        <f t="shared" si="5"/>
        <v>96</v>
      </c>
      <c r="C103" s="3"/>
      <c r="D103" s="3">
        <v>292</v>
      </c>
      <c r="E103" s="3"/>
      <c r="F103" s="3"/>
      <c r="G103" s="3" t="s">
        <v>175</v>
      </c>
      <c r="H103" s="22">
        <f>H104</f>
        <v>1661</v>
      </c>
      <c r="I103" s="22">
        <f>I104</f>
        <v>1663</v>
      </c>
      <c r="J103" s="201">
        <f t="shared" si="3"/>
        <v>100.12040939193257</v>
      </c>
    </row>
    <row r="104" spans="2:10" ht="13.5" thickBot="1" x14ac:dyDescent="0.25">
      <c r="B104" s="29">
        <f t="shared" ref="B104:B122" si="6">B103+1</f>
        <v>97</v>
      </c>
      <c r="C104" s="4"/>
      <c r="D104" s="4"/>
      <c r="E104" s="4">
        <v>292017</v>
      </c>
      <c r="F104" s="4"/>
      <c r="G104" s="4" t="s">
        <v>532</v>
      </c>
      <c r="H104" s="23">
        <v>1661</v>
      </c>
      <c r="I104" s="23">
        <v>1663</v>
      </c>
      <c r="J104" s="201">
        <f t="shared" si="3"/>
        <v>100.12040939193257</v>
      </c>
    </row>
    <row r="105" spans="2:10" ht="15.75" thickBot="1" x14ac:dyDescent="0.3">
      <c r="B105" s="29">
        <f t="shared" si="6"/>
        <v>98</v>
      </c>
      <c r="C105" s="14">
        <v>4</v>
      </c>
      <c r="D105" s="14"/>
      <c r="E105" s="14"/>
      <c r="F105" s="14"/>
      <c r="G105" s="14" t="s">
        <v>84</v>
      </c>
      <c r="H105" s="20">
        <f>H106+H109+H115+H119+H123+H127+H131+H135+H139+H143+H147+H152+H156+H160+H164+H168+H172+H176+H112</f>
        <v>156806</v>
      </c>
      <c r="I105" s="20">
        <f>I106+I109+I112+I115+I119+I123+I127+I131+I135+I139+I143+I147+I152+I156+I160+I164+I168+I172+I176</f>
        <v>153632</v>
      </c>
      <c r="J105" s="201">
        <f t="shared" si="3"/>
        <v>97.975842761118841</v>
      </c>
    </row>
    <row r="106" spans="2:10" x14ac:dyDescent="0.2">
      <c r="B106" s="29">
        <f t="shared" si="6"/>
        <v>99</v>
      </c>
      <c r="C106" s="3">
        <v>210</v>
      </c>
      <c r="D106" s="3"/>
      <c r="E106" s="3"/>
      <c r="F106" s="3"/>
      <c r="G106" s="3" t="s">
        <v>21</v>
      </c>
      <c r="H106" s="22">
        <f>H107</f>
        <v>8000</v>
      </c>
      <c r="I106" s="22">
        <f>I107</f>
        <v>3523</v>
      </c>
      <c r="J106" s="201">
        <f t="shared" si="3"/>
        <v>44.037500000000001</v>
      </c>
    </row>
    <row r="107" spans="2:10" x14ac:dyDescent="0.2">
      <c r="B107" s="29">
        <f t="shared" si="6"/>
        <v>100</v>
      </c>
      <c r="C107" s="4"/>
      <c r="D107" s="4">
        <v>212</v>
      </c>
      <c r="E107" s="4"/>
      <c r="F107" s="4"/>
      <c r="G107" s="4" t="s">
        <v>22</v>
      </c>
      <c r="H107" s="23">
        <f>H108</f>
        <v>8000</v>
      </c>
      <c r="I107" s="23">
        <f>I108</f>
        <v>3523</v>
      </c>
      <c r="J107" s="201">
        <f t="shared" si="3"/>
        <v>44.037500000000001</v>
      </c>
    </row>
    <row r="108" spans="2:10" x14ac:dyDescent="0.2">
      <c r="B108" s="29">
        <f t="shared" si="6"/>
        <v>101</v>
      </c>
      <c r="C108" s="5"/>
      <c r="D108" s="5"/>
      <c r="E108" s="5">
        <v>212003</v>
      </c>
      <c r="F108" s="5"/>
      <c r="G108" s="5" t="s">
        <v>23</v>
      </c>
      <c r="H108" s="24">
        <v>8000</v>
      </c>
      <c r="I108" s="24">
        <v>3523</v>
      </c>
      <c r="J108" s="201">
        <f t="shared" si="3"/>
        <v>44.037500000000001</v>
      </c>
    </row>
    <row r="109" spans="2:10" x14ac:dyDescent="0.2">
      <c r="B109" s="29">
        <f t="shared" si="6"/>
        <v>102</v>
      </c>
      <c r="C109" s="3">
        <v>240</v>
      </c>
      <c r="D109" s="3"/>
      <c r="E109" s="3"/>
      <c r="F109" s="3"/>
      <c r="G109" s="3" t="s">
        <v>173</v>
      </c>
      <c r="H109" s="22">
        <f>H110</f>
        <v>15</v>
      </c>
      <c r="I109" s="22">
        <f>I110</f>
        <v>20</v>
      </c>
      <c r="J109" s="201">
        <f t="shared" si="3"/>
        <v>133.33333333333331</v>
      </c>
    </row>
    <row r="110" spans="2:10" x14ac:dyDescent="0.2">
      <c r="B110" s="29">
        <f t="shared" si="6"/>
        <v>103</v>
      </c>
      <c r="C110" s="4"/>
      <c r="D110" s="4">
        <v>242</v>
      </c>
      <c r="E110" s="4"/>
      <c r="F110" s="4"/>
      <c r="G110" s="4" t="s">
        <v>172</v>
      </c>
      <c r="H110" s="23">
        <f>H111</f>
        <v>15</v>
      </c>
      <c r="I110" s="23">
        <f>I111</f>
        <v>20</v>
      </c>
      <c r="J110" s="201">
        <f t="shared" si="3"/>
        <v>133.33333333333331</v>
      </c>
    </row>
    <row r="111" spans="2:10" x14ac:dyDescent="0.2">
      <c r="B111" s="29">
        <f t="shared" si="6"/>
        <v>104</v>
      </c>
      <c r="C111" s="5"/>
      <c r="D111" s="5"/>
      <c r="E111" s="5">
        <v>242</v>
      </c>
      <c r="F111" s="5"/>
      <c r="G111" s="5" t="s">
        <v>172</v>
      </c>
      <c r="H111" s="24">
        <v>15</v>
      </c>
      <c r="I111" s="24">
        <v>20</v>
      </c>
      <c r="J111" s="201">
        <f t="shared" si="3"/>
        <v>133.33333333333331</v>
      </c>
    </row>
    <row r="112" spans="2:10" x14ac:dyDescent="0.2">
      <c r="B112" s="29">
        <f t="shared" si="6"/>
        <v>105</v>
      </c>
      <c r="C112" s="8">
        <v>290</v>
      </c>
      <c r="D112" s="8"/>
      <c r="E112" s="8"/>
      <c r="F112" s="8"/>
      <c r="G112" s="8" t="s">
        <v>174</v>
      </c>
      <c r="H112" s="21">
        <f>H113</f>
        <v>21806</v>
      </c>
      <c r="I112" s="21">
        <f>I113</f>
        <v>24489</v>
      </c>
      <c r="J112" s="201">
        <f t="shared" si="3"/>
        <v>112.30395304044758</v>
      </c>
    </row>
    <row r="113" spans="2:10" x14ac:dyDescent="0.2">
      <c r="B113" s="29">
        <f t="shared" si="6"/>
        <v>106</v>
      </c>
      <c r="C113" s="3"/>
      <c r="D113" s="3">
        <v>292</v>
      </c>
      <c r="E113" s="3"/>
      <c r="F113" s="3"/>
      <c r="G113" s="3" t="s">
        <v>175</v>
      </c>
      <c r="H113" s="22">
        <f>H114</f>
        <v>21806</v>
      </c>
      <c r="I113" s="22">
        <f>I114</f>
        <v>24489</v>
      </c>
      <c r="J113" s="201">
        <f t="shared" si="3"/>
        <v>112.30395304044758</v>
      </c>
    </row>
    <row r="114" spans="2:10" x14ac:dyDescent="0.2">
      <c r="B114" s="29">
        <f t="shared" si="6"/>
        <v>107</v>
      </c>
      <c r="C114" s="4"/>
      <c r="D114" s="4"/>
      <c r="E114" s="4">
        <v>292017</v>
      </c>
      <c r="F114" s="4"/>
      <c r="G114" s="4" t="s">
        <v>532</v>
      </c>
      <c r="H114" s="23">
        <v>21806</v>
      </c>
      <c r="I114" s="23">
        <f>2683+21806</f>
        <v>24489</v>
      </c>
      <c r="J114" s="201">
        <f t="shared" si="3"/>
        <v>112.30395304044758</v>
      </c>
    </row>
    <row r="115" spans="2:10" x14ac:dyDescent="0.2">
      <c r="B115" s="29">
        <f t="shared" si="6"/>
        <v>108</v>
      </c>
      <c r="C115" s="8"/>
      <c r="D115" s="8"/>
      <c r="E115" s="8"/>
      <c r="F115" s="8"/>
      <c r="G115" s="8" t="s">
        <v>63</v>
      </c>
      <c r="H115" s="21">
        <f t="shared" ref="H115:I117" si="7">H116</f>
        <v>6690</v>
      </c>
      <c r="I115" s="21">
        <f t="shared" si="7"/>
        <v>6753</v>
      </c>
      <c r="J115" s="201">
        <f t="shared" si="3"/>
        <v>100.94170403587444</v>
      </c>
    </row>
    <row r="116" spans="2:10" x14ac:dyDescent="0.2">
      <c r="B116" s="29">
        <f t="shared" si="6"/>
        <v>109</v>
      </c>
      <c r="C116" s="3">
        <v>220</v>
      </c>
      <c r="D116" s="3"/>
      <c r="E116" s="3"/>
      <c r="F116" s="3"/>
      <c r="G116" s="3" t="s">
        <v>223</v>
      </c>
      <c r="H116" s="22">
        <f t="shared" si="7"/>
        <v>6690</v>
      </c>
      <c r="I116" s="22">
        <f t="shared" si="7"/>
        <v>6753</v>
      </c>
      <c r="J116" s="201">
        <f t="shared" si="3"/>
        <v>100.94170403587444</v>
      </c>
    </row>
    <row r="117" spans="2:10" x14ac:dyDescent="0.2">
      <c r="B117" s="29">
        <f t="shared" si="6"/>
        <v>110</v>
      </c>
      <c r="C117" s="4"/>
      <c r="D117" s="4">
        <v>223</v>
      </c>
      <c r="E117" s="4"/>
      <c r="F117" s="4"/>
      <c r="G117" s="4" t="s">
        <v>25</v>
      </c>
      <c r="H117" s="23">
        <f t="shared" si="7"/>
        <v>6690</v>
      </c>
      <c r="I117" s="23">
        <f t="shared" si="7"/>
        <v>6753</v>
      </c>
      <c r="J117" s="201">
        <f t="shared" si="3"/>
        <v>100.94170403587444</v>
      </c>
    </row>
    <row r="118" spans="2:10" x14ac:dyDescent="0.2">
      <c r="B118" s="29">
        <f t="shared" si="6"/>
        <v>111</v>
      </c>
      <c r="C118" s="5"/>
      <c r="D118" s="5"/>
      <c r="E118" s="5">
        <v>223002</v>
      </c>
      <c r="F118" s="5"/>
      <c r="G118" s="5" t="s">
        <v>67</v>
      </c>
      <c r="H118" s="24">
        <v>6690</v>
      </c>
      <c r="I118" s="24">
        <v>6753</v>
      </c>
      <c r="J118" s="201">
        <f t="shared" si="3"/>
        <v>100.94170403587444</v>
      </c>
    </row>
    <row r="119" spans="2:10" x14ac:dyDescent="0.2">
      <c r="B119" s="29">
        <f t="shared" si="6"/>
        <v>112</v>
      </c>
      <c r="C119" s="8"/>
      <c r="D119" s="8"/>
      <c r="E119" s="8"/>
      <c r="F119" s="8"/>
      <c r="G119" s="8" t="s">
        <v>11</v>
      </c>
      <c r="H119" s="21">
        <f t="shared" ref="H119:I121" si="8">H120</f>
        <v>8400</v>
      </c>
      <c r="I119" s="21">
        <f t="shared" si="8"/>
        <v>9546</v>
      </c>
      <c r="J119" s="201">
        <f t="shared" si="3"/>
        <v>113.64285714285714</v>
      </c>
    </row>
    <row r="120" spans="2:10" x14ac:dyDescent="0.2">
      <c r="B120" s="29">
        <f t="shared" si="6"/>
        <v>113</v>
      </c>
      <c r="C120" s="3">
        <v>220</v>
      </c>
      <c r="D120" s="3"/>
      <c r="E120" s="3"/>
      <c r="F120" s="3"/>
      <c r="G120" s="3" t="s">
        <v>223</v>
      </c>
      <c r="H120" s="22">
        <f t="shared" si="8"/>
        <v>8400</v>
      </c>
      <c r="I120" s="22">
        <f t="shared" si="8"/>
        <v>9546</v>
      </c>
      <c r="J120" s="201">
        <f t="shared" si="3"/>
        <v>113.64285714285714</v>
      </c>
    </row>
    <row r="121" spans="2:10" x14ac:dyDescent="0.2">
      <c r="B121" s="29">
        <f t="shared" si="6"/>
        <v>114</v>
      </c>
      <c r="C121" s="4"/>
      <c r="D121" s="4">
        <v>223</v>
      </c>
      <c r="E121" s="4"/>
      <c r="F121" s="4"/>
      <c r="G121" s="4" t="s">
        <v>25</v>
      </c>
      <c r="H121" s="23">
        <f t="shared" si="8"/>
        <v>8400</v>
      </c>
      <c r="I121" s="23">
        <f t="shared" si="8"/>
        <v>9546</v>
      </c>
      <c r="J121" s="201">
        <f t="shared" si="3"/>
        <v>113.64285714285714</v>
      </c>
    </row>
    <row r="122" spans="2:10" x14ac:dyDescent="0.2">
      <c r="B122" s="29">
        <f t="shared" si="6"/>
        <v>115</v>
      </c>
      <c r="C122" s="5"/>
      <c r="D122" s="5"/>
      <c r="E122" s="5">
        <v>223002</v>
      </c>
      <c r="F122" s="5"/>
      <c r="G122" s="5" t="s">
        <v>67</v>
      </c>
      <c r="H122" s="24">
        <v>8400</v>
      </c>
      <c r="I122" s="24">
        <v>9546</v>
      </c>
      <c r="J122" s="201">
        <f t="shared" si="3"/>
        <v>113.64285714285714</v>
      </c>
    </row>
    <row r="123" spans="2:10" x14ac:dyDescent="0.2">
      <c r="B123" s="29">
        <f t="shared" ref="B123:B155" si="9">B122+1</f>
        <v>116</v>
      </c>
      <c r="C123" s="8"/>
      <c r="D123" s="8"/>
      <c r="E123" s="8"/>
      <c r="F123" s="8"/>
      <c r="G123" s="8" t="s">
        <v>62</v>
      </c>
      <c r="H123" s="21">
        <f t="shared" ref="H123:I125" si="10">H124</f>
        <v>6690</v>
      </c>
      <c r="I123" s="21">
        <f t="shared" si="10"/>
        <v>5972</v>
      </c>
      <c r="J123" s="201">
        <f t="shared" si="3"/>
        <v>89.267563527653209</v>
      </c>
    </row>
    <row r="124" spans="2:10" x14ac:dyDescent="0.2">
      <c r="B124" s="29">
        <f t="shared" si="9"/>
        <v>117</v>
      </c>
      <c r="C124" s="3">
        <v>220</v>
      </c>
      <c r="D124" s="3"/>
      <c r="E124" s="3"/>
      <c r="F124" s="3"/>
      <c r="G124" s="3" t="s">
        <v>223</v>
      </c>
      <c r="H124" s="22">
        <f t="shared" si="10"/>
        <v>6690</v>
      </c>
      <c r="I124" s="22">
        <f t="shared" si="10"/>
        <v>5972</v>
      </c>
      <c r="J124" s="201">
        <f t="shared" si="3"/>
        <v>89.267563527653209</v>
      </c>
    </row>
    <row r="125" spans="2:10" x14ac:dyDescent="0.2">
      <c r="B125" s="29">
        <f t="shared" si="9"/>
        <v>118</v>
      </c>
      <c r="C125" s="4"/>
      <c r="D125" s="4">
        <v>223</v>
      </c>
      <c r="E125" s="4"/>
      <c r="F125" s="4"/>
      <c r="G125" s="4" t="s">
        <v>25</v>
      </c>
      <c r="H125" s="23">
        <f t="shared" si="10"/>
        <v>6690</v>
      </c>
      <c r="I125" s="23">
        <f t="shared" si="10"/>
        <v>5972</v>
      </c>
      <c r="J125" s="201">
        <f t="shared" si="3"/>
        <v>89.267563527653209</v>
      </c>
    </row>
    <row r="126" spans="2:10" x14ac:dyDescent="0.2">
      <c r="B126" s="29">
        <f t="shared" si="9"/>
        <v>119</v>
      </c>
      <c r="C126" s="5"/>
      <c r="D126" s="5"/>
      <c r="E126" s="5">
        <v>223002</v>
      </c>
      <c r="F126" s="5"/>
      <c r="G126" s="5" t="s">
        <v>67</v>
      </c>
      <c r="H126" s="24">
        <v>6690</v>
      </c>
      <c r="I126" s="24">
        <v>5972</v>
      </c>
      <c r="J126" s="201">
        <f t="shared" si="3"/>
        <v>89.267563527653209</v>
      </c>
    </row>
    <row r="127" spans="2:10" x14ac:dyDescent="0.2">
      <c r="B127" s="29">
        <f t="shared" si="9"/>
        <v>120</v>
      </c>
      <c r="C127" s="8"/>
      <c r="D127" s="8"/>
      <c r="E127" s="8"/>
      <c r="F127" s="8"/>
      <c r="G127" s="8" t="s">
        <v>98</v>
      </c>
      <c r="H127" s="21">
        <f t="shared" ref="H127:I129" si="11">H128</f>
        <v>8400</v>
      </c>
      <c r="I127" s="21">
        <f t="shared" si="11"/>
        <v>7821</v>
      </c>
      <c r="J127" s="201">
        <f t="shared" si="3"/>
        <v>93.107142857142861</v>
      </c>
    </row>
    <row r="128" spans="2:10" x14ac:dyDescent="0.2">
      <c r="B128" s="29">
        <f t="shared" si="9"/>
        <v>121</v>
      </c>
      <c r="C128" s="3">
        <v>220</v>
      </c>
      <c r="D128" s="3"/>
      <c r="E128" s="3"/>
      <c r="F128" s="3"/>
      <c r="G128" s="3" t="s">
        <v>223</v>
      </c>
      <c r="H128" s="22">
        <f t="shared" si="11"/>
        <v>8400</v>
      </c>
      <c r="I128" s="22">
        <f t="shared" si="11"/>
        <v>7821</v>
      </c>
      <c r="J128" s="201">
        <f t="shared" ref="J128:J191" si="12">I128/H128*100</f>
        <v>93.107142857142861</v>
      </c>
    </row>
    <row r="129" spans="2:10" x14ac:dyDescent="0.2">
      <c r="B129" s="29">
        <f t="shared" si="9"/>
        <v>122</v>
      </c>
      <c r="C129" s="4"/>
      <c r="D129" s="4">
        <v>223</v>
      </c>
      <c r="E129" s="4"/>
      <c r="F129" s="4"/>
      <c r="G129" s="4" t="s">
        <v>25</v>
      </c>
      <c r="H129" s="23">
        <f t="shared" si="11"/>
        <v>8400</v>
      </c>
      <c r="I129" s="23">
        <f t="shared" si="11"/>
        <v>7821</v>
      </c>
      <c r="J129" s="201">
        <f t="shared" si="12"/>
        <v>93.107142857142861</v>
      </c>
    </row>
    <row r="130" spans="2:10" x14ac:dyDescent="0.2">
      <c r="B130" s="29">
        <f t="shared" si="9"/>
        <v>123</v>
      </c>
      <c r="C130" s="5"/>
      <c r="D130" s="5"/>
      <c r="E130" s="5">
        <v>223002</v>
      </c>
      <c r="F130" s="5"/>
      <c r="G130" s="5" t="s">
        <v>67</v>
      </c>
      <c r="H130" s="24">
        <v>8400</v>
      </c>
      <c r="I130" s="24">
        <v>7821</v>
      </c>
      <c r="J130" s="201">
        <f t="shared" si="12"/>
        <v>93.107142857142861</v>
      </c>
    </row>
    <row r="131" spans="2:10" x14ac:dyDescent="0.2">
      <c r="B131" s="29">
        <f t="shared" si="9"/>
        <v>124</v>
      </c>
      <c r="C131" s="8"/>
      <c r="D131" s="8"/>
      <c r="E131" s="8"/>
      <c r="F131" s="8"/>
      <c r="G131" s="8" t="s">
        <v>101</v>
      </c>
      <c r="H131" s="21">
        <f t="shared" ref="H131:I133" si="13">H132</f>
        <v>8120</v>
      </c>
      <c r="I131" s="21">
        <f t="shared" si="13"/>
        <v>7536</v>
      </c>
      <c r="J131" s="201">
        <f t="shared" si="12"/>
        <v>92.807881773399018</v>
      </c>
    </row>
    <row r="132" spans="2:10" x14ac:dyDescent="0.2">
      <c r="B132" s="29">
        <f t="shared" si="9"/>
        <v>125</v>
      </c>
      <c r="C132" s="3">
        <v>220</v>
      </c>
      <c r="D132" s="3"/>
      <c r="E132" s="3"/>
      <c r="F132" s="3"/>
      <c r="G132" s="3" t="s">
        <v>223</v>
      </c>
      <c r="H132" s="22">
        <f t="shared" si="13"/>
        <v>8120</v>
      </c>
      <c r="I132" s="22">
        <f t="shared" si="13"/>
        <v>7536</v>
      </c>
      <c r="J132" s="201">
        <f t="shared" si="12"/>
        <v>92.807881773399018</v>
      </c>
    </row>
    <row r="133" spans="2:10" x14ac:dyDescent="0.2">
      <c r="B133" s="29">
        <f t="shared" si="9"/>
        <v>126</v>
      </c>
      <c r="C133" s="4"/>
      <c r="D133" s="4">
        <v>223</v>
      </c>
      <c r="E133" s="4"/>
      <c r="F133" s="4"/>
      <c r="G133" s="4" t="s">
        <v>25</v>
      </c>
      <c r="H133" s="23">
        <f t="shared" si="13"/>
        <v>8120</v>
      </c>
      <c r="I133" s="23">
        <f t="shared" si="13"/>
        <v>7536</v>
      </c>
      <c r="J133" s="201">
        <f t="shared" si="12"/>
        <v>92.807881773399018</v>
      </c>
    </row>
    <row r="134" spans="2:10" x14ac:dyDescent="0.2">
      <c r="B134" s="29">
        <f t="shared" si="9"/>
        <v>127</v>
      </c>
      <c r="C134" s="5"/>
      <c r="D134" s="5"/>
      <c r="E134" s="5">
        <v>223002</v>
      </c>
      <c r="F134" s="5"/>
      <c r="G134" s="5" t="s">
        <v>67</v>
      </c>
      <c r="H134" s="24">
        <v>8120</v>
      </c>
      <c r="I134" s="24">
        <v>7536</v>
      </c>
      <c r="J134" s="201">
        <f t="shared" si="12"/>
        <v>92.807881773399018</v>
      </c>
    </row>
    <row r="135" spans="2:10" x14ac:dyDescent="0.2">
      <c r="B135" s="29">
        <f t="shared" si="9"/>
        <v>128</v>
      </c>
      <c r="C135" s="8"/>
      <c r="D135" s="8"/>
      <c r="E135" s="8"/>
      <c r="F135" s="8"/>
      <c r="G135" s="8" t="s">
        <v>86</v>
      </c>
      <c r="H135" s="21">
        <f t="shared" ref="H135:I137" si="14">H136</f>
        <v>12530</v>
      </c>
      <c r="I135" s="21">
        <f t="shared" si="14"/>
        <v>12689</v>
      </c>
      <c r="J135" s="201">
        <f t="shared" si="12"/>
        <v>101.26895450917797</v>
      </c>
    </row>
    <row r="136" spans="2:10" x14ac:dyDescent="0.2">
      <c r="B136" s="29">
        <f t="shared" si="9"/>
        <v>129</v>
      </c>
      <c r="C136" s="3">
        <v>220</v>
      </c>
      <c r="D136" s="3"/>
      <c r="E136" s="3"/>
      <c r="F136" s="3"/>
      <c r="G136" s="3" t="s">
        <v>223</v>
      </c>
      <c r="H136" s="22">
        <f t="shared" si="14"/>
        <v>12530</v>
      </c>
      <c r="I136" s="22">
        <f t="shared" si="14"/>
        <v>12689</v>
      </c>
      <c r="J136" s="201">
        <f t="shared" si="12"/>
        <v>101.26895450917797</v>
      </c>
    </row>
    <row r="137" spans="2:10" x14ac:dyDescent="0.2">
      <c r="B137" s="29">
        <f t="shared" si="9"/>
        <v>130</v>
      </c>
      <c r="C137" s="4"/>
      <c r="D137" s="4">
        <v>223</v>
      </c>
      <c r="E137" s="4"/>
      <c r="F137" s="4"/>
      <c r="G137" s="4" t="s">
        <v>25</v>
      </c>
      <c r="H137" s="23">
        <f t="shared" si="14"/>
        <v>12530</v>
      </c>
      <c r="I137" s="23">
        <f t="shared" si="14"/>
        <v>12689</v>
      </c>
      <c r="J137" s="201">
        <f t="shared" si="12"/>
        <v>101.26895450917797</v>
      </c>
    </row>
    <row r="138" spans="2:10" x14ac:dyDescent="0.2">
      <c r="B138" s="29">
        <f t="shared" si="9"/>
        <v>131</v>
      </c>
      <c r="C138" s="5"/>
      <c r="D138" s="5"/>
      <c r="E138" s="5">
        <v>223002</v>
      </c>
      <c r="F138" s="5"/>
      <c r="G138" s="5" t="s">
        <v>67</v>
      </c>
      <c r="H138" s="24">
        <v>12530</v>
      </c>
      <c r="I138" s="24">
        <v>12689</v>
      </c>
      <c r="J138" s="201">
        <f t="shared" si="12"/>
        <v>101.26895450917797</v>
      </c>
    </row>
    <row r="139" spans="2:10" x14ac:dyDescent="0.2">
      <c r="B139" s="29">
        <f t="shared" si="9"/>
        <v>132</v>
      </c>
      <c r="C139" s="8"/>
      <c r="D139" s="8"/>
      <c r="E139" s="8"/>
      <c r="F139" s="8"/>
      <c r="G139" s="8" t="s">
        <v>83</v>
      </c>
      <c r="H139" s="21">
        <f t="shared" ref="H139:I141" si="15">H140</f>
        <v>12815</v>
      </c>
      <c r="I139" s="21">
        <f t="shared" si="15"/>
        <v>13302</v>
      </c>
      <c r="J139" s="201">
        <f t="shared" si="12"/>
        <v>103.80023410066327</v>
      </c>
    </row>
    <row r="140" spans="2:10" x14ac:dyDescent="0.2">
      <c r="B140" s="29">
        <f t="shared" si="9"/>
        <v>133</v>
      </c>
      <c r="C140" s="3">
        <v>220</v>
      </c>
      <c r="D140" s="3"/>
      <c r="E140" s="3"/>
      <c r="F140" s="3"/>
      <c r="G140" s="3" t="s">
        <v>223</v>
      </c>
      <c r="H140" s="22">
        <f t="shared" si="15"/>
        <v>12815</v>
      </c>
      <c r="I140" s="22">
        <f t="shared" si="15"/>
        <v>13302</v>
      </c>
      <c r="J140" s="201">
        <f t="shared" si="12"/>
        <v>103.80023410066327</v>
      </c>
    </row>
    <row r="141" spans="2:10" x14ac:dyDescent="0.2">
      <c r="B141" s="29">
        <f t="shared" si="9"/>
        <v>134</v>
      </c>
      <c r="C141" s="4"/>
      <c r="D141" s="4">
        <v>223</v>
      </c>
      <c r="E141" s="4"/>
      <c r="F141" s="4"/>
      <c r="G141" s="4" t="s">
        <v>25</v>
      </c>
      <c r="H141" s="23">
        <f t="shared" si="15"/>
        <v>12815</v>
      </c>
      <c r="I141" s="23">
        <f t="shared" si="15"/>
        <v>13302</v>
      </c>
      <c r="J141" s="201">
        <f t="shared" si="12"/>
        <v>103.80023410066327</v>
      </c>
    </row>
    <row r="142" spans="2:10" x14ac:dyDescent="0.2">
      <c r="B142" s="29">
        <f t="shared" si="9"/>
        <v>135</v>
      </c>
      <c r="C142" s="5"/>
      <c r="D142" s="5"/>
      <c r="E142" s="5">
        <v>223002</v>
      </c>
      <c r="F142" s="5"/>
      <c r="G142" s="5" t="s">
        <v>67</v>
      </c>
      <c r="H142" s="24">
        <v>12815</v>
      </c>
      <c r="I142" s="24">
        <v>13302</v>
      </c>
      <c r="J142" s="201">
        <f t="shared" si="12"/>
        <v>103.80023410066327</v>
      </c>
    </row>
    <row r="143" spans="2:10" x14ac:dyDescent="0.2">
      <c r="B143" s="29">
        <f t="shared" si="9"/>
        <v>136</v>
      </c>
      <c r="C143" s="8"/>
      <c r="D143" s="8"/>
      <c r="E143" s="8"/>
      <c r="F143" s="8"/>
      <c r="G143" s="8" t="s">
        <v>105</v>
      </c>
      <c r="H143" s="21">
        <f t="shared" ref="H143:I145" si="16">H144</f>
        <v>6980</v>
      </c>
      <c r="I143" s="21">
        <f t="shared" si="16"/>
        <v>7246</v>
      </c>
      <c r="J143" s="201">
        <f t="shared" si="12"/>
        <v>103.810888252149</v>
      </c>
    </row>
    <row r="144" spans="2:10" x14ac:dyDescent="0.2">
      <c r="B144" s="29">
        <f t="shared" si="9"/>
        <v>137</v>
      </c>
      <c r="C144" s="3">
        <v>220</v>
      </c>
      <c r="D144" s="3"/>
      <c r="E144" s="3"/>
      <c r="F144" s="3"/>
      <c r="G144" s="3" t="s">
        <v>223</v>
      </c>
      <c r="H144" s="22">
        <f t="shared" si="16"/>
        <v>6980</v>
      </c>
      <c r="I144" s="22">
        <f t="shared" si="16"/>
        <v>7246</v>
      </c>
      <c r="J144" s="201">
        <f t="shared" si="12"/>
        <v>103.810888252149</v>
      </c>
    </row>
    <row r="145" spans="2:10" x14ac:dyDescent="0.2">
      <c r="B145" s="29">
        <f t="shared" si="9"/>
        <v>138</v>
      </c>
      <c r="C145" s="4"/>
      <c r="D145" s="4">
        <v>223</v>
      </c>
      <c r="E145" s="4"/>
      <c r="F145" s="4"/>
      <c r="G145" s="4" t="s">
        <v>25</v>
      </c>
      <c r="H145" s="23">
        <f t="shared" si="16"/>
        <v>6980</v>
      </c>
      <c r="I145" s="23">
        <f t="shared" si="16"/>
        <v>7246</v>
      </c>
      <c r="J145" s="201">
        <f t="shared" si="12"/>
        <v>103.810888252149</v>
      </c>
    </row>
    <row r="146" spans="2:10" x14ac:dyDescent="0.2">
      <c r="B146" s="29">
        <f t="shared" si="9"/>
        <v>139</v>
      </c>
      <c r="C146" s="5"/>
      <c r="D146" s="5"/>
      <c r="E146" s="5">
        <v>223002</v>
      </c>
      <c r="F146" s="5"/>
      <c r="G146" s="5" t="s">
        <v>67</v>
      </c>
      <c r="H146" s="24">
        <v>6980</v>
      </c>
      <c r="I146" s="24">
        <v>7246</v>
      </c>
      <c r="J146" s="201">
        <f t="shared" si="12"/>
        <v>103.810888252149</v>
      </c>
    </row>
    <row r="147" spans="2:10" x14ac:dyDescent="0.2">
      <c r="B147" s="29">
        <f t="shared" si="9"/>
        <v>140</v>
      </c>
      <c r="C147" s="8"/>
      <c r="D147" s="8"/>
      <c r="E147" s="8"/>
      <c r="F147" s="8"/>
      <c r="G147" s="8" t="s">
        <v>250</v>
      </c>
      <c r="H147" s="21">
        <f>H148</f>
        <v>10880</v>
      </c>
      <c r="I147" s="21">
        <f>I148</f>
        <v>10041</v>
      </c>
      <c r="J147" s="201">
        <f t="shared" si="12"/>
        <v>92.288602941176464</v>
      </c>
    </row>
    <row r="148" spans="2:10" x14ac:dyDescent="0.2">
      <c r="B148" s="29">
        <f t="shared" si="9"/>
        <v>141</v>
      </c>
      <c r="C148" s="3">
        <v>220</v>
      </c>
      <c r="D148" s="3"/>
      <c r="E148" s="3"/>
      <c r="F148" s="3"/>
      <c r="G148" s="3" t="s">
        <v>223</v>
      </c>
      <c r="H148" s="22">
        <f>H149</f>
        <v>10880</v>
      </c>
      <c r="I148" s="22">
        <f>I149</f>
        <v>10041</v>
      </c>
      <c r="J148" s="201">
        <f t="shared" si="12"/>
        <v>92.288602941176464</v>
      </c>
    </row>
    <row r="149" spans="2:10" x14ac:dyDescent="0.2">
      <c r="B149" s="29">
        <f t="shared" si="9"/>
        <v>142</v>
      </c>
      <c r="C149" s="4"/>
      <c r="D149" s="4">
        <v>223</v>
      </c>
      <c r="E149" s="4"/>
      <c r="F149" s="4"/>
      <c r="G149" s="4" t="s">
        <v>25</v>
      </c>
      <c r="H149" s="23">
        <f>SUM(H150:H151)</f>
        <v>10880</v>
      </c>
      <c r="I149" s="23">
        <f>SUM(I150:I151)</f>
        <v>10041</v>
      </c>
      <c r="J149" s="201">
        <f t="shared" si="12"/>
        <v>92.288602941176464</v>
      </c>
    </row>
    <row r="150" spans="2:10" x14ac:dyDescent="0.2">
      <c r="B150" s="29">
        <f t="shared" si="9"/>
        <v>143</v>
      </c>
      <c r="C150" s="4"/>
      <c r="D150" s="4"/>
      <c r="E150" s="5">
        <v>223001</v>
      </c>
      <c r="F150" s="5"/>
      <c r="G150" s="5" t="s">
        <v>634</v>
      </c>
      <c r="H150" s="24">
        <v>350</v>
      </c>
      <c r="I150" s="24">
        <v>391</v>
      </c>
      <c r="J150" s="201">
        <f t="shared" si="12"/>
        <v>111.71428571428572</v>
      </c>
    </row>
    <row r="151" spans="2:10" x14ac:dyDescent="0.2">
      <c r="B151" s="29">
        <f t="shared" si="9"/>
        <v>144</v>
      </c>
      <c r="C151" s="5"/>
      <c r="D151" s="5"/>
      <c r="E151" s="5">
        <v>223002</v>
      </c>
      <c r="F151" s="5"/>
      <c r="G151" s="5" t="s">
        <v>67</v>
      </c>
      <c r="H151" s="24">
        <v>10530</v>
      </c>
      <c r="I151" s="24">
        <v>9650</v>
      </c>
      <c r="J151" s="201">
        <f t="shared" si="12"/>
        <v>91.642924976258314</v>
      </c>
    </row>
    <row r="152" spans="2:10" x14ac:dyDescent="0.2">
      <c r="B152" s="29">
        <f t="shared" si="9"/>
        <v>145</v>
      </c>
      <c r="C152" s="8"/>
      <c r="D152" s="8"/>
      <c r="E152" s="8"/>
      <c r="F152" s="8"/>
      <c r="G152" s="8" t="s">
        <v>64</v>
      </c>
      <c r="H152" s="21">
        <f t="shared" ref="H152:I154" si="17">H153</f>
        <v>12390</v>
      </c>
      <c r="I152" s="21">
        <f t="shared" si="17"/>
        <v>11712</v>
      </c>
      <c r="J152" s="201">
        <f t="shared" si="12"/>
        <v>94.527845036319619</v>
      </c>
    </row>
    <row r="153" spans="2:10" x14ac:dyDescent="0.2">
      <c r="B153" s="29">
        <f t="shared" si="9"/>
        <v>146</v>
      </c>
      <c r="C153" s="3">
        <v>220</v>
      </c>
      <c r="D153" s="3"/>
      <c r="E153" s="3"/>
      <c r="F153" s="3"/>
      <c r="G153" s="3" t="s">
        <v>223</v>
      </c>
      <c r="H153" s="22">
        <f t="shared" si="17"/>
        <v>12390</v>
      </c>
      <c r="I153" s="22">
        <f t="shared" si="17"/>
        <v>11712</v>
      </c>
      <c r="J153" s="201">
        <f t="shared" si="12"/>
        <v>94.527845036319619</v>
      </c>
    </row>
    <row r="154" spans="2:10" x14ac:dyDescent="0.2">
      <c r="B154" s="29">
        <f t="shared" si="9"/>
        <v>147</v>
      </c>
      <c r="C154" s="4"/>
      <c r="D154" s="4">
        <v>223</v>
      </c>
      <c r="E154" s="4"/>
      <c r="F154" s="4"/>
      <c r="G154" s="4" t="s">
        <v>25</v>
      </c>
      <c r="H154" s="23">
        <f t="shared" si="17"/>
        <v>12390</v>
      </c>
      <c r="I154" s="23">
        <f t="shared" si="17"/>
        <v>11712</v>
      </c>
      <c r="J154" s="201">
        <f t="shared" si="12"/>
        <v>94.527845036319619</v>
      </c>
    </row>
    <row r="155" spans="2:10" x14ac:dyDescent="0.2">
      <c r="B155" s="29">
        <f t="shared" si="9"/>
        <v>148</v>
      </c>
      <c r="C155" s="5"/>
      <c r="D155" s="5"/>
      <c r="E155" s="5">
        <v>223002</v>
      </c>
      <c r="F155" s="5"/>
      <c r="G155" s="5" t="s">
        <v>67</v>
      </c>
      <c r="H155" s="24">
        <v>12390</v>
      </c>
      <c r="I155" s="24">
        <v>11712</v>
      </c>
      <c r="J155" s="201">
        <f t="shared" si="12"/>
        <v>94.527845036319619</v>
      </c>
    </row>
    <row r="156" spans="2:10" x14ac:dyDescent="0.2">
      <c r="B156" s="29">
        <f t="shared" ref="B156:B219" si="18">B155+1</f>
        <v>149</v>
      </c>
      <c r="C156" s="8"/>
      <c r="D156" s="8"/>
      <c r="E156" s="8"/>
      <c r="F156" s="8"/>
      <c r="G156" s="8" t="s">
        <v>65</v>
      </c>
      <c r="H156" s="21">
        <f t="shared" ref="H156:I158" si="19">H157</f>
        <v>6550</v>
      </c>
      <c r="I156" s="21">
        <f t="shared" si="19"/>
        <v>6269</v>
      </c>
      <c r="J156" s="201">
        <f t="shared" si="12"/>
        <v>95.709923664122144</v>
      </c>
    </row>
    <row r="157" spans="2:10" x14ac:dyDescent="0.2">
      <c r="B157" s="29">
        <f t="shared" si="18"/>
        <v>150</v>
      </c>
      <c r="C157" s="3">
        <v>220</v>
      </c>
      <c r="D157" s="3"/>
      <c r="E157" s="3"/>
      <c r="F157" s="3"/>
      <c r="G157" s="3" t="s">
        <v>223</v>
      </c>
      <c r="H157" s="22">
        <f t="shared" si="19"/>
        <v>6550</v>
      </c>
      <c r="I157" s="22">
        <f t="shared" si="19"/>
        <v>6269</v>
      </c>
      <c r="J157" s="201">
        <f t="shared" si="12"/>
        <v>95.709923664122144</v>
      </c>
    </row>
    <row r="158" spans="2:10" x14ac:dyDescent="0.2">
      <c r="B158" s="29">
        <f t="shared" si="18"/>
        <v>151</v>
      </c>
      <c r="C158" s="4"/>
      <c r="D158" s="4">
        <v>223</v>
      </c>
      <c r="E158" s="4"/>
      <c r="F158" s="4"/>
      <c r="G158" s="4" t="s">
        <v>25</v>
      </c>
      <c r="H158" s="23">
        <f t="shared" si="19"/>
        <v>6550</v>
      </c>
      <c r="I158" s="23">
        <f t="shared" si="19"/>
        <v>6269</v>
      </c>
      <c r="J158" s="201">
        <f t="shared" si="12"/>
        <v>95.709923664122144</v>
      </c>
    </row>
    <row r="159" spans="2:10" ht="13.5" customHeight="1" x14ac:dyDescent="0.2">
      <c r="B159" s="29">
        <f t="shared" si="18"/>
        <v>152</v>
      </c>
      <c r="C159" s="5"/>
      <c r="D159" s="5"/>
      <c r="E159" s="5">
        <v>223002</v>
      </c>
      <c r="F159" s="5"/>
      <c r="G159" s="5" t="s">
        <v>67</v>
      </c>
      <c r="H159" s="24">
        <v>6550</v>
      </c>
      <c r="I159" s="24">
        <v>6269</v>
      </c>
      <c r="J159" s="201">
        <f t="shared" si="12"/>
        <v>95.709923664122144</v>
      </c>
    </row>
    <row r="160" spans="2:10" x14ac:dyDescent="0.2">
      <c r="B160" s="29">
        <f t="shared" si="18"/>
        <v>153</v>
      </c>
      <c r="C160" s="8"/>
      <c r="D160" s="8"/>
      <c r="E160" s="8"/>
      <c r="F160" s="8"/>
      <c r="G160" s="8" t="s">
        <v>96</v>
      </c>
      <c r="H160" s="21">
        <f t="shared" ref="H160:I162" si="20">H161</f>
        <v>4700</v>
      </c>
      <c r="I160" s="21">
        <f t="shared" si="20"/>
        <v>4535</v>
      </c>
      <c r="J160" s="201">
        <f t="shared" si="12"/>
        <v>96.489361702127667</v>
      </c>
    </row>
    <row r="161" spans="2:10" x14ac:dyDescent="0.2">
      <c r="B161" s="29">
        <f t="shared" si="18"/>
        <v>154</v>
      </c>
      <c r="C161" s="3">
        <v>220</v>
      </c>
      <c r="D161" s="3"/>
      <c r="E161" s="3"/>
      <c r="F161" s="3"/>
      <c r="G161" s="3" t="s">
        <v>223</v>
      </c>
      <c r="H161" s="22">
        <f t="shared" si="20"/>
        <v>4700</v>
      </c>
      <c r="I161" s="22">
        <f t="shared" si="20"/>
        <v>4535</v>
      </c>
      <c r="J161" s="201">
        <f t="shared" si="12"/>
        <v>96.489361702127667</v>
      </c>
    </row>
    <row r="162" spans="2:10" x14ac:dyDescent="0.2">
      <c r="B162" s="29">
        <f t="shared" si="18"/>
        <v>155</v>
      </c>
      <c r="C162" s="4"/>
      <c r="D162" s="4">
        <v>223</v>
      </c>
      <c r="E162" s="4"/>
      <c r="F162" s="4"/>
      <c r="G162" s="4" t="s">
        <v>25</v>
      </c>
      <c r="H162" s="23">
        <f t="shared" si="20"/>
        <v>4700</v>
      </c>
      <c r="I162" s="23">
        <f t="shared" si="20"/>
        <v>4535</v>
      </c>
      <c r="J162" s="201">
        <f t="shared" si="12"/>
        <v>96.489361702127667</v>
      </c>
    </row>
    <row r="163" spans="2:10" x14ac:dyDescent="0.2">
      <c r="B163" s="29">
        <f t="shared" si="18"/>
        <v>156</v>
      </c>
      <c r="C163" s="5"/>
      <c r="D163" s="5"/>
      <c r="E163" s="5">
        <v>223002</v>
      </c>
      <c r="F163" s="5"/>
      <c r="G163" s="5" t="s">
        <v>67</v>
      </c>
      <c r="H163" s="24">
        <v>4700</v>
      </c>
      <c r="I163" s="24">
        <v>4535</v>
      </c>
      <c r="J163" s="201">
        <f t="shared" si="12"/>
        <v>96.489361702127667</v>
      </c>
    </row>
    <row r="164" spans="2:10" x14ac:dyDescent="0.2">
      <c r="B164" s="29">
        <f t="shared" si="18"/>
        <v>157</v>
      </c>
      <c r="C164" s="8"/>
      <c r="D164" s="8"/>
      <c r="E164" s="8"/>
      <c r="F164" s="8"/>
      <c r="G164" s="8" t="s">
        <v>208</v>
      </c>
      <c r="H164" s="21">
        <f t="shared" ref="H164:I166" si="21">H165</f>
        <v>3410</v>
      </c>
      <c r="I164" s="21">
        <f t="shared" si="21"/>
        <v>3987</v>
      </c>
      <c r="J164" s="201">
        <f t="shared" si="12"/>
        <v>116.9208211143695</v>
      </c>
    </row>
    <row r="165" spans="2:10" x14ac:dyDescent="0.2">
      <c r="B165" s="29">
        <f t="shared" si="18"/>
        <v>158</v>
      </c>
      <c r="C165" s="3">
        <v>220</v>
      </c>
      <c r="D165" s="3"/>
      <c r="E165" s="3"/>
      <c r="F165" s="3"/>
      <c r="G165" s="3" t="s">
        <v>223</v>
      </c>
      <c r="H165" s="22">
        <f t="shared" si="21"/>
        <v>3410</v>
      </c>
      <c r="I165" s="22">
        <f t="shared" si="21"/>
        <v>3987</v>
      </c>
      <c r="J165" s="201">
        <f t="shared" si="12"/>
        <v>116.9208211143695</v>
      </c>
    </row>
    <row r="166" spans="2:10" x14ac:dyDescent="0.2">
      <c r="B166" s="29">
        <f t="shared" si="18"/>
        <v>159</v>
      </c>
      <c r="C166" s="4"/>
      <c r="D166" s="4">
        <v>223</v>
      </c>
      <c r="E166" s="4"/>
      <c r="F166" s="4"/>
      <c r="G166" s="4" t="s">
        <v>25</v>
      </c>
      <c r="H166" s="23">
        <f t="shared" si="21"/>
        <v>3410</v>
      </c>
      <c r="I166" s="23">
        <f t="shared" si="21"/>
        <v>3987</v>
      </c>
      <c r="J166" s="201">
        <f t="shared" si="12"/>
        <v>116.9208211143695</v>
      </c>
    </row>
    <row r="167" spans="2:10" x14ac:dyDescent="0.2">
      <c r="B167" s="29">
        <f t="shared" si="18"/>
        <v>160</v>
      </c>
      <c r="C167" s="5"/>
      <c r="D167" s="5"/>
      <c r="E167" s="5">
        <v>223002</v>
      </c>
      <c r="F167" s="5"/>
      <c r="G167" s="5" t="s">
        <v>67</v>
      </c>
      <c r="H167" s="24">
        <v>3410</v>
      </c>
      <c r="I167" s="24">
        <v>3987</v>
      </c>
      <c r="J167" s="201">
        <f t="shared" si="12"/>
        <v>116.9208211143695</v>
      </c>
    </row>
    <row r="168" spans="2:10" x14ac:dyDescent="0.2">
      <c r="B168" s="29">
        <f t="shared" si="18"/>
        <v>161</v>
      </c>
      <c r="C168" s="8"/>
      <c r="D168" s="8"/>
      <c r="E168" s="8"/>
      <c r="F168" s="8"/>
      <c r="G168" s="8" t="s">
        <v>66</v>
      </c>
      <c r="H168" s="21">
        <f t="shared" ref="H168:I170" si="22">H169</f>
        <v>2420</v>
      </c>
      <c r="I168" s="21">
        <f t="shared" si="22"/>
        <v>2857</v>
      </c>
      <c r="J168" s="201">
        <f t="shared" si="12"/>
        <v>118.05785123966943</v>
      </c>
    </row>
    <row r="169" spans="2:10" x14ac:dyDescent="0.2">
      <c r="B169" s="29">
        <f t="shared" si="18"/>
        <v>162</v>
      </c>
      <c r="C169" s="3">
        <v>220</v>
      </c>
      <c r="D169" s="3"/>
      <c r="E169" s="3"/>
      <c r="F169" s="3"/>
      <c r="G169" s="3" t="s">
        <v>223</v>
      </c>
      <c r="H169" s="22">
        <f t="shared" si="22"/>
        <v>2420</v>
      </c>
      <c r="I169" s="22">
        <f t="shared" si="22"/>
        <v>2857</v>
      </c>
      <c r="J169" s="201">
        <f t="shared" si="12"/>
        <v>118.05785123966943</v>
      </c>
    </row>
    <row r="170" spans="2:10" x14ac:dyDescent="0.2">
      <c r="B170" s="29">
        <f t="shared" si="18"/>
        <v>163</v>
      </c>
      <c r="C170" s="4"/>
      <c r="D170" s="4">
        <v>223</v>
      </c>
      <c r="E170" s="4"/>
      <c r="F170" s="4"/>
      <c r="G170" s="4" t="s">
        <v>25</v>
      </c>
      <c r="H170" s="23">
        <f t="shared" si="22"/>
        <v>2420</v>
      </c>
      <c r="I170" s="23">
        <f t="shared" si="22"/>
        <v>2857</v>
      </c>
      <c r="J170" s="201">
        <f t="shared" si="12"/>
        <v>118.05785123966943</v>
      </c>
    </row>
    <row r="171" spans="2:10" x14ac:dyDescent="0.2">
      <c r="B171" s="29">
        <f t="shared" si="18"/>
        <v>164</v>
      </c>
      <c r="C171" s="5"/>
      <c r="D171" s="5"/>
      <c r="E171" s="5">
        <v>223002</v>
      </c>
      <c r="F171" s="5"/>
      <c r="G171" s="5" t="s">
        <v>67</v>
      </c>
      <c r="H171" s="24">
        <v>2420</v>
      </c>
      <c r="I171" s="24">
        <v>2857</v>
      </c>
      <c r="J171" s="201">
        <f t="shared" si="12"/>
        <v>118.05785123966943</v>
      </c>
    </row>
    <row r="172" spans="2:10" x14ac:dyDescent="0.2">
      <c r="B172" s="29">
        <f t="shared" si="18"/>
        <v>165</v>
      </c>
      <c r="C172" s="8"/>
      <c r="D172" s="8"/>
      <c r="E172" s="8"/>
      <c r="F172" s="8"/>
      <c r="G172" s="8" t="s">
        <v>108</v>
      </c>
      <c r="H172" s="21">
        <f t="shared" ref="H172:I174" si="23">H173</f>
        <v>14950</v>
      </c>
      <c r="I172" s="21">
        <f t="shared" si="23"/>
        <v>13689</v>
      </c>
      <c r="J172" s="201">
        <f t="shared" si="12"/>
        <v>91.565217391304344</v>
      </c>
    </row>
    <row r="173" spans="2:10" x14ac:dyDescent="0.2">
      <c r="B173" s="29">
        <f t="shared" si="18"/>
        <v>166</v>
      </c>
      <c r="C173" s="3">
        <v>220</v>
      </c>
      <c r="D173" s="3"/>
      <c r="E173" s="3"/>
      <c r="F173" s="3"/>
      <c r="G173" s="3" t="s">
        <v>223</v>
      </c>
      <c r="H173" s="22">
        <f t="shared" si="23"/>
        <v>14950</v>
      </c>
      <c r="I173" s="22">
        <f t="shared" si="23"/>
        <v>13689</v>
      </c>
      <c r="J173" s="201">
        <f t="shared" si="12"/>
        <v>91.565217391304344</v>
      </c>
    </row>
    <row r="174" spans="2:10" x14ac:dyDescent="0.2">
      <c r="B174" s="29">
        <f t="shared" si="18"/>
        <v>167</v>
      </c>
      <c r="C174" s="4"/>
      <c r="D174" s="4">
        <v>223</v>
      </c>
      <c r="E174" s="4"/>
      <c r="F174" s="4"/>
      <c r="G174" s="4" t="s">
        <v>25</v>
      </c>
      <c r="H174" s="23">
        <f t="shared" si="23"/>
        <v>14950</v>
      </c>
      <c r="I174" s="23">
        <f t="shared" si="23"/>
        <v>13689</v>
      </c>
      <c r="J174" s="201">
        <f t="shared" si="12"/>
        <v>91.565217391304344</v>
      </c>
    </row>
    <row r="175" spans="2:10" x14ac:dyDescent="0.2">
      <c r="B175" s="29">
        <f t="shared" si="18"/>
        <v>168</v>
      </c>
      <c r="C175" s="5"/>
      <c r="D175" s="5"/>
      <c r="E175" s="5">
        <v>223002</v>
      </c>
      <c r="F175" s="5"/>
      <c r="G175" s="5" t="s">
        <v>67</v>
      </c>
      <c r="H175" s="24">
        <v>14950</v>
      </c>
      <c r="I175" s="24">
        <v>13689</v>
      </c>
      <c r="J175" s="201">
        <f t="shared" si="12"/>
        <v>91.565217391304344</v>
      </c>
    </row>
    <row r="176" spans="2:10" x14ac:dyDescent="0.2">
      <c r="B176" s="29">
        <f t="shared" si="18"/>
        <v>169</v>
      </c>
      <c r="C176" s="8"/>
      <c r="D176" s="8"/>
      <c r="E176" s="8"/>
      <c r="F176" s="8"/>
      <c r="G176" s="8" t="s">
        <v>92</v>
      </c>
      <c r="H176" s="21">
        <f t="shared" ref="H176:I178" si="24">H177</f>
        <v>1060</v>
      </c>
      <c r="I176" s="21">
        <f t="shared" si="24"/>
        <v>1645</v>
      </c>
      <c r="J176" s="201">
        <f t="shared" si="12"/>
        <v>155.18867924528303</v>
      </c>
    </row>
    <row r="177" spans="2:10" x14ac:dyDescent="0.2">
      <c r="B177" s="29">
        <f t="shared" si="18"/>
        <v>170</v>
      </c>
      <c r="C177" s="3">
        <v>220</v>
      </c>
      <c r="D177" s="3"/>
      <c r="E177" s="3"/>
      <c r="F177" s="3"/>
      <c r="G177" s="3" t="s">
        <v>223</v>
      </c>
      <c r="H177" s="22">
        <f t="shared" si="24"/>
        <v>1060</v>
      </c>
      <c r="I177" s="22">
        <f t="shared" si="24"/>
        <v>1645</v>
      </c>
      <c r="J177" s="201">
        <f t="shared" si="12"/>
        <v>155.18867924528303</v>
      </c>
    </row>
    <row r="178" spans="2:10" x14ac:dyDescent="0.2">
      <c r="B178" s="29">
        <f t="shared" si="18"/>
        <v>171</v>
      </c>
      <c r="C178" s="4"/>
      <c r="D178" s="4">
        <v>223</v>
      </c>
      <c r="E178" s="4"/>
      <c r="F178" s="4"/>
      <c r="G178" s="4" t="s">
        <v>25</v>
      </c>
      <c r="H178" s="23">
        <f t="shared" si="24"/>
        <v>1060</v>
      </c>
      <c r="I178" s="23">
        <f t="shared" si="24"/>
        <v>1645</v>
      </c>
      <c r="J178" s="201">
        <f t="shared" si="12"/>
        <v>155.18867924528303</v>
      </c>
    </row>
    <row r="179" spans="2:10" ht="13.5" thickBot="1" x14ac:dyDescent="0.25">
      <c r="B179" s="29">
        <f t="shared" si="18"/>
        <v>172</v>
      </c>
      <c r="C179" s="5"/>
      <c r="D179" s="5"/>
      <c r="E179" s="5">
        <v>223002</v>
      </c>
      <c r="F179" s="5"/>
      <c r="G179" s="5" t="s">
        <v>67</v>
      </c>
      <c r="H179" s="24">
        <v>1060</v>
      </c>
      <c r="I179" s="24">
        <v>1645</v>
      </c>
      <c r="J179" s="201">
        <f t="shared" si="12"/>
        <v>155.18867924528303</v>
      </c>
    </row>
    <row r="180" spans="2:10" ht="15.75" thickBot="1" x14ac:dyDescent="0.3">
      <c r="B180" s="29">
        <f t="shared" si="18"/>
        <v>173</v>
      </c>
      <c r="C180" s="14">
        <v>5</v>
      </c>
      <c r="D180" s="14"/>
      <c r="E180" s="14"/>
      <c r="F180" s="14"/>
      <c r="G180" s="14" t="s">
        <v>265</v>
      </c>
      <c r="H180" s="20">
        <f>H181+H184+H190+H194+H201+H209+H213+H220+H224+H228+H232+H239</f>
        <v>717557</v>
      </c>
      <c r="I180" s="20">
        <f>I181+I184+I190+I194+I201+I209+I213+I220+I224+I228+I232+I239+I236</f>
        <v>748680</v>
      </c>
      <c r="J180" s="201">
        <f t="shared" si="12"/>
        <v>104.33735577800789</v>
      </c>
    </row>
    <row r="181" spans="2:10" x14ac:dyDescent="0.2">
      <c r="B181" s="29">
        <f t="shared" si="18"/>
        <v>174</v>
      </c>
      <c r="C181" s="3">
        <v>220</v>
      </c>
      <c r="D181" s="3"/>
      <c r="E181" s="3"/>
      <c r="F181" s="3"/>
      <c r="G181" s="3" t="s">
        <v>223</v>
      </c>
      <c r="H181" s="22">
        <f>H182</f>
        <v>6600</v>
      </c>
      <c r="I181" s="22">
        <f>I182</f>
        <v>6640</v>
      </c>
      <c r="J181" s="201">
        <f t="shared" si="12"/>
        <v>100.60606060606061</v>
      </c>
    </row>
    <row r="182" spans="2:10" x14ac:dyDescent="0.2">
      <c r="B182" s="29">
        <f t="shared" si="18"/>
        <v>175</v>
      </c>
      <c r="C182" s="4"/>
      <c r="D182" s="4">
        <v>223</v>
      </c>
      <c r="E182" s="4"/>
      <c r="F182" s="4"/>
      <c r="G182" s="4" t="s">
        <v>25</v>
      </c>
      <c r="H182" s="23">
        <f>H183</f>
        <v>6600</v>
      </c>
      <c r="I182" s="23">
        <f>I183</f>
        <v>6640</v>
      </c>
      <c r="J182" s="201">
        <f t="shared" si="12"/>
        <v>100.60606060606061</v>
      </c>
    </row>
    <row r="183" spans="2:10" x14ac:dyDescent="0.2">
      <c r="B183" s="29">
        <f t="shared" si="18"/>
        <v>176</v>
      </c>
      <c r="C183" s="89"/>
      <c r="D183" s="89"/>
      <c r="E183" s="5">
        <v>223003</v>
      </c>
      <c r="F183" s="5"/>
      <c r="G183" s="5" t="s">
        <v>385</v>
      </c>
      <c r="H183" s="24">
        <v>6600</v>
      </c>
      <c r="I183" s="24">
        <v>6640</v>
      </c>
      <c r="J183" s="201">
        <f t="shared" si="12"/>
        <v>100.60606060606061</v>
      </c>
    </row>
    <row r="184" spans="2:10" x14ac:dyDescent="0.2">
      <c r="B184" s="29">
        <f t="shared" si="18"/>
        <v>177</v>
      </c>
      <c r="C184" s="8"/>
      <c r="D184" s="8"/>
      <c r="E184" s="8"/>
      <c r="F184" s="8"/>
      <c r="G184" s="8" t="s">
        <v>267</v>
      </c>
      <c r="H184" s="21">
        <f>H185</f>
        <v>119000</v>
      </c>
      <c r="I184" s="21">
        <f>I185</f>
        <v>91199</v>
      </c>
      <c r="J184" s="201">
        <f t="shared" si="12"/>
        <v>76.637815126050427</v>
      </c>
    </row>
    <row r="185" spans="2:10" x14ac:dyDescent="0.2">
      <c r="B185" s="29">
        <f t="shared" si="18"/>
        <v>178</v>
      </c>
      <c r="C185" s="3">
        <v>220</v>
      </c>
      <c r="D185" s="3"/>
      <c r="E185" s="3"/>
      <c r="F185" s="3"/>
      <c r="G185" s="3" t="s">
        <v>223</v>
      </c>
      <c r="H185" s="22">
        <f>H186</f>
        <v>119000</v>
      </c>
      <c r="I185" s="22">
        <f>I186</f>
        <v>91199</v>
      </c>
      <c r="J185" s="201">
        <f t="shared" si="12"/>
        <v>76.637815126050427</v>
      </c>
    </row>
    <row r="186" spans="2:10" x14ac:dyDescent="0.2">
      <c r="B186" s="29">
        <f t="shared" si="18"/>
        <v>179</v>
      </c>
      <c r="C186" s="4"/>
      <c r="D186" s="4">
        <v>223</v>
      </c>
      <c r="E186" s="4"/>
      <c r="F186" s="4"/>
      <c r="G186" s="4" t="s">
        <v>25</v>
      </c>
      <c r="H186" s="23">
        <f>SUM(H187:H189)</f>
        <v>119000</v>
      </c>
      <c r="I186" s="23">
        <f>SUM(I187:I189)</f>
        <v>91199</v>
      </c>
      <c r="J186" s="201">
        <f t="shared" si="12"/>
        <v>76.637815126050427</v>
      </c>
    </row>
    <row r="187" spans="2:10" x14ac:dyDescent="0.2">
      <c r="B187" s="29">
        <f t="shared" si="18"/>
        <v>180</v>
      </c>
      <c r="C187" s="5"/>
      <c r="D187" s="5"/>
      <c r="E187" s="5">
        <v>223002</v>
      </c>
      <c r="F187" s="5"/>
      <c r="G187" s="5" t="s">
        <v>67</v>
      </c>
      <c r="H187" s="24">
        <v>109000</v>
      </c>
      <c r="I187" s="24">
        <v>83004</v>
      </c>
      <c r="J187" s="201">
        <f t="shared" si="12"/>
        <v>76.150458715596329</v>
      </c>
    </row>
    <row r="188" spans="2:10" x14ac:dyDescent="0.2">
      <c r="B188" s="29">
        <f t="shared" si="18"/>
        <v>181</v>
      </c>
      <c r="C188" s="5"/>
      <c r="D188" s="5"/>
      <c r="E188" s="5">
        <v>223003</v>
      </c>
      <c r="F188" s="5"/>
      <c r="G188" s="5" t="s">
        <v>68</v>
      </c>
      <c r="H188" s="24">
        <v>9000</v>
      </c>
      <c r="I188" s="24">
        <v>7184</v>
      </c>
      <c r="J188" s="201">
        <f t="shared" si="12"/>
        <v>79.822222222222223</v>
      </c>
    </row>
    <row r="189" spans="2:10" x14ac:dyDescent="0.2">
      <c r="B189" s="29">
        <f t="shared" si="18"/>
        <v>182</v>
      </c>
      <c r="C189" s="5"/>
      <c r="D189" s="5"/>
      <c r="E189" s="5">
        <v>223003</v>
      </c>
      <c r="F189" s="5"/>
      <c r="G189" s="5" t="s">
        <v>386</v>
      </c>
      <c r="H189" s="24">
        <v>1000</v>
      </c>
      <c r="I189" s="24">
        <v>1011</v>
      </c>
      <c r="J189" s="201">
        <f t="shared" si="12"/>
        <v>101.1</v>
      </c>
    </row>
    <row r="190" spans="2:10" x14ac:dyDescent="0.2">
      <c r="B190" s="29">
        <f t="shared" si="18"/>
        <v>183</v>
      </c>
      <c r="C190" s="8"/>
      <c r="D190" s="8"/>
      <c r="E190" s="8"/>
      <c r="F190" s="8"/>
      <c r="G190" s="8" t="s">
        <v>266</v>
      </c>
      <c r="H190" s="21">
        <f t="shared" ref="H190:I192" si="25">H191</f>
        <v>2000</v>
      </c>
      <c r="I190" s="21">
        <f t="shared" si="25"/>
        <v>1718</v>
      </c>
      <c r="J190" s="201">
        <f t="shared" si="12"/>
        <v>85.9</v>
      </c>
    </row>
    <row r="191" spans="2:10" x14ac:dyDescent="0.2">
      <c r="B191" s="29">
        <f t="shared" si="18"/>
        <v>184</v>
      </c>
      <c r="C191" s="3">
        <v>220</v>
      </c>
      <c r="D191" s="3"/>
      <c r="E191" s="3"/>
      <c r="F191" s="3"/>
      <c r="G191" s="3" t="s">
        <v>223</v>
      </c>
      <c r="H191" s="22">
        <f t="shared" si="25"/>
        <v>2000</v>
      </c>
      <c r="I191" s="22">
        <f t="shared" si="25"/>
        <v>1718</v>
      </c>
      <c r="J191" s="201">
        <f t="shared" si="12"/>
        <v>85.9</v>
      </c>
    </row>
    <row r="192" spans="2:10" x14ac:dyDescent="0.2">
      <c r="B192" s="29">
        <f t="shared" si="18"/>
        <v>185</v>
      </c>
      <c r="C192" s="4"/>
      <c r="D192" s="4">
        <v>223</v>
      </c>
      <c r="E192" s="4"/>
      <c r="F192" s="4"/>
      <c r="G192" s="4" t="s">
        <v>25</v>
      </c>
      <c r="H192" s="23">
        <f t="shared" si="25"/>
        <v>2000</v>
      </c>
      <c r="I192" s="23">
        <f t="shared" si="25"/>
        <v>1718</v>
      </c>
      <c r="J192" s="201">
        <f t="shared" ref="J192:J260" si="26">I192/H192*100</f>
        <v>85.9</v>
      </c>
    </row>
    <row r="193" spans="2:10" x14ac:dyDescent="0.2">
      <c r="B193" s="29">
        <f t="shared" si="18"/>
        <v>186</v>
      </c>
      <c r="C193" s="5"/>
      <c r="D193" s="5"/>
      <c r="E193" s="5">
        <v>223001</v>
      </c>
      <c r="F193" s="5"/>
      <c r="G193" s="5" t="s">
        <v>26</v>
      </c>
      <c r="H193" s="24">
        <v>2000</v>
      </c>
      <c r="I193" s="24">
        <v>1718</v>
      </c>
      <c r="J193" s="201">
        <f t="shared" si="26"/>
        <v>85.9</v>
      </c>
    </row>
    <row r="194" spans="2:10" x14ac:dyDescent="0.2">
      <c r="B194" s="29">
        <f t="shared" si="18"/>
        <v>187</v>
      </c>
      <c r="C194" s="8"/>
      <c r="D194" s="8"/>
      <c r="E194" s="8"/>
      <c r="F194" s="8"/>
      <c r="G194" s="8" t="s">
        <v>387</v>
      </c>
      <c r="H194" s="21">
        <f>H195+H198</f>
        <v>9400</v>
      </c>
      <c r="I194" s="21">
        <f>I195+I198</f>
        <v>10340</v>
      </c>
      <c r="J194" s="201">
        <f t="shared" si="26"/>
        <v>110.00000000000001</v>
      </c>
    </row>
    <row r="195" spans="2:10" x14ac:dyDescent="0.2">
      <c r="B195" s="29">
        <f t="shared" si="18"/>
        <v>188</v>
      </c>
      <c r="C195" s="3">
        <v>210</v>
      </c>
      <c r="D195" s="3"/>
      <c r="E195" s="3"/>
      <c r="F195" s="3"/>
      <c r="G195" s="3" t="s">
        <v>21</v>
      </c>
      <c r="H195" s="22">
        <f>H196</f>
        <v>3600</v>
      </c>
      <c r="I195" s="22">
        <f>I196</f>
        <v>3600</v>
      </c>
      <c r="J195" s="201">
        <f t="shared" si="26"/>
        <v>100</v>
      </c>
    </row>
    <row r="196" spans="2:10" x14ac:dyDescent="0.2">
      <c r="B196" s="29">
        <f t="shared" si="18"/>
        <v>189</v>
      </c>
      <c r="C196" s="4"/>
      <c r="D196" s="4">
        <v>212</v>
      </c>
      <c r="E196" s="4"/>
      <c r="F196" s="4"/>
      <c r="G196" s="4" t="s">
        <v>22</v>
      </c>
      <c r="H196" s="23">
        <f>H197</f>
        <v>3600</v>
      </c>
      <c r="I196" s="23">
        <f>I197</f>
        <v>3600</v>
      </c>
      <c r="J196" s="201">
        <f t="shared" si="26"/>
        <v>100</v>
      </c>
    </row>
    <row r="197" spans="2:10" x14ac:dyDescent="0.2">
      <c r="B197" s="29">
        <f t="shared" si="18"/>
        <v>190</v>
      </c>
      <c r="C197" s="5"/>
      <c r="D197" s="5"/>
      <c r="E197" s="5">
        <v>212003</v>
      </c>
      <c r="F197" s="5"/>
      <c r="G197" s="5" t="s">
        <v>23</v>
      </c>
      <c r="H197" s="24">
        <v>3600</v>
      </c>
      <c r="I197" s="24">
        <v>3600</v>
      </c>
      <c r="J197" s="201">
        <f t="shared" si="26"/>
        <v>100</v>
      </c>
    </row>
    <row r="198" spans="2:10" x14ac:dyDescent="0.2">
      <c r="B198" s="29">
        <f t="shared" si="18"/>
        <v>191</v>
      </c>
      <c r="C198" s="3">
        <v>220</v>
      </c>
      <c r="D198" s="3"/>
      <c r="E198" s="3"/>
      <c r="F198" s="3"/>
      <c r="G198" s="3" t="s">
        <v>223</v>
      </c>
      <c r="H198" s="22">
        <f>H199</f>
        <v>5800</v>
      </c>
      <c r="I198" s="22">
        <f>I199</f>
        <v>6740</v>
      </c>
      <c r="J198" s="201">
        <f t="shared" si="26"/>
        <v>116.20689655172414</v>
      </c>
    </row>
    <row r="199" spans="2:10" x14ac:dyDescent="0.2">
      <c r="B199" s="29">
        <f t="shared" si="18"/>
        <v>192</v>
      </c>
      <c r="C199" s="4"/>
      <c r="D199" s="4">
        <v>223</v>
      </c>
      <c r="E199" s="4"/>
      <c r="F199" s="4"/>
      <c r="G199" s="4" t="s">
        <v>25</v>
      </c>
      <c r="H199" s="23">
        <f>H200</f>
        <v>5800</v>
      </c>
      <c r="I199" s="23">
        <f>I200</f>
        <v>6740</v>
      </c>
      <c r="J199" s="201">
        <f t="shared" si="26"/>
        <v>116.20689655172414</v>
      </c>
    </row>
    <row r="200" spans="2:10" x14ac:dyDescent="0.2">
      <c r="B200" s="29">
        <f t="shared" si="18"/>
        <v>193</v>
      </c>
      <c r="C200" s="5"/>
      <c r="D200" s="5"/>
      <c r="E200" s="5">
        <v>223001</v>
      </c>
      <c r="F200" s="5"/>
      <c r="G200" s="5" t="s">
        <v>26</v>
      </c>
      <c r="H200" s="24">
        <f>2200+3600</f>
        <v>5800</v>
      </c>
      <c r="I200" s="24">
        <v>6740</v>
      </c>
      <c r="J200" s="201">
        <f t="shared" si="26"/>
        <v>116.20689655172414</v>
      </c>
    </row>
    <row r="201" spans="2:10" x14ac:dyDescent="0.2">
      <c r="B201" s="29">
        <f t="shared" si="18"/>
        <v>194</v>
      </c>
      <c r="C201" s="8"/>
      <c r="D201" s="8"/>
      <c r="E201" s="8"/>
      <c r="F201" s="8"/>
      <c r="G201" s="8" t="s">
        <v>246</v>
      </c>
      <c r="H201" s="21">
        <f>H202+H205</f>
        <v>130100</v>
      </c>
      <c r="I201" s="21">
        <f>I202+I205</f>
        <v>163862</v>
      </c>
      <c r="J201" s="201">
        <f t="shared" si="26"/>
        <v>125.95080707148347</v>
      </c>
    </row>
    <row r="202" spans="2:10" x14ac:dyDescent="0.2">
      <c r="B202" s="29">
        <f t="shared" si="18"/>
        <v>195</v>
      </c>
      <c r="C202" s="3">
        <v>210</v>
      </c>
      <c r="D202" s="3"/>
      <c r="E202" s="3"/>
      <c r="F202" s="3"/>
      <c r="G202" s="3" t="s">
        <v>21</v>
      </c>
      <c r="H202" s="22">
        <f>H203</f>
        <v>1000</v>
      </c>
      <c r="I202" s="22">
        <f>I203</f>
        <v>657</v>
      </c>
      <c r="J202" s="201">
        <f t="shared" si="26"/>
        <v>65.7</v>
      </c>
    </row>
    <row r="203" spans="2:10" x14ac:dyDescent="0.2">
      <c r="B203" s="29">
        <f t="shared" si="18"/>
        <v>196</v>
      </c>
      <c r="C203" s="4"/>
      <c r="D203" s="4">
        <v>212</v>
      </c>
      <c r="E203" s="4"/>
      <c r="F203" s="4"/>
      <c r="G203" s="4" t="s">
        <v>22</v>
      </c>
      <c r="H203" s="23">
        <f>H204</f>
        <v>1000</v>
      </c>
      <c r="I203" s="23">
        <f>I204</f>
        <v>657</v>
      </c>
      <c r="J203" s="201">
        <f t="shared" si="26"/>
        <v>65.7</v>
      </c>
    </row>
    <row r="204" spans="2:10" x14ac:dyDescent="0.2">
      <c r="B204" s="29">
        <f t="shared" si="18"/>
        <v>197</v>
      </c>
      <c r="C204" s="5"/>
      <c r="D204" s="5"/>
      <c r="E204" s="5">
        <v>212003</v>
      </c>
      <c r="F204" s="5"/>
      <c r="G204" s="5" t="s">
        <v>23</v>
      </c>
      <c r="H204" s="24">
        <v>1000</v>
      </c>
      <c r="I204" s="24">
        <v>657</v>
      </c>
      <c r="J204" s="201">
        <f t="shared" si="26"/>
        <v>65.7</v>
      </c>
    </row>
    <row r="205" spans="2:10" x14ac:dyDescent="0.2">
      <c r="B205" s="29">
        <f t="shared" si="18"/>
        <v>198</v>
      </c>
      <c r="C205" s="3">
        <v>220</v>
      </c>
      <c r="D205" s="3"/>
      <c r="E205" s="3"/>
      <c r="F205" s="3"/>
      <c r="G205" s="3" t="s">
        <v>223</v>
      </c>
      <c r="H205" s="22">
        <f>H206</f>
        <v>129100</v>
      </c>
      <c r="I205" s="22">
        <f>I206</f>
        <v>163205</v>
      </c>
      <c r="J205" s="201">
        <f t="shared" si="26"/>
        <v>126.41750580945003</v>
      </c>
    </row>
    <row r="206" spans="2:10" x14ac:dyDescent="0.2">
      <c r="B206" s="29">
        <f t="shared" si="18"/>
        <v>199</v>
      </c>
      <c r="C206" s="4"/>
      <c r="D206" s="4">
        <v>223</v>
      </c>
      <c r="E206" s="4"/>
      <c r="F206" s="4"/>
      <c r="G206" s="4" t="s">
        <v>25</v>
      </c>
      <c r="H206" s="23">
        <f>H207+H208</f>
        <v>129100</v>
      </c>
      <c r="I206" s="23">
        <f>I207+I208</f>
        <v>163205</v>
      </c>
      <c r="J206" s="201">
        <f t="shared" si="26"/>
        <v>126.41750580945003</v>
      </c>
    </row>
    <row r="207" spans="2:10" x14ac:dyDescent="0.2">
      <c r="B207" s="29">
        <f t="shared" si="18"/>
        <v>200</v>
      </c>
      <c r="C207" s="5"/>
      <c r="D207" s="5"/>
      <c r="E207" s="5">
        <v>223001</v>
      </c>
      <c r="F207" s="5"/>
      <c r="G207" s="5" t="s">
        <v>388</v>
      </c>
      <c r="H207" s="24">
        <v>108000</v>
      </c>
      <c r="I207" s="24">
        <v>122269</v>
      </c>
      <c r="J207" s="201">
        <f t="shared" si="26"/>
        <v>113.21203703703704</v>
      </c>
    </row>
    <row r="208" spans="2:10" x14ac:dyDescent="0.2">
      <c r="B208" s="29">
        <f t="shared" si="18"/>
        <v>201</v>
      </c>
      <c r="C208" s="5"/>
      <c r="D208" s="5"/>
      <c r="E208" s="5">
        <v>223001</v>
      </c>
      <c r="F208" s="5"/>
      <c r="G208" s="5" t="s">
        <v>389</v>
      </c>
      <c r="H208" s="24">
        <v>21100</v>
      </c>
      <c r="I208" s="24">
        <v>40936</v>
      </c>
      <c r="J208" s="201">
        <f t="shared" si="26"/>
        <v>194.00947867298578</v>
      </c>
    </row>
    <row r="209" spans="2:10" x14ac:dyDescent="0.2">
      <c r="B209" s="29">
        <f t="shared" si="18"/>
        <v>202</v>
      </c>
      <c r="C209" s="8"/>
      <c r="D209" s="8"/>
      <c r="E209" s="8"/>
      <c r="F209" s="8"/>
      <c r="G209" s="8" t="s">
        <v>390</v>
      </c>
      <c r="H209" s="21">
        <f t="shared" ref="H209:I211" si="27">H210</f>
        <v>191200</v>
      </c>
      <c r="I209" s="21">
        <f t="shared" si="27"/>
        <v>199641</v>
      </c>
      <c r="J209" s="201">
        <f t="shared" si="26"/>
        <v>104.41474895397489</v>
      </c>
    </row>
    <row r="210" spans="2:10" x14ac:dyDescent="0.2">
      <c r="B210" s="29">
        <f t="shared" si="18"/>
        <v>203</v>
      </c>
      <c r="C210" s="3">
        <v>220</v>
      </c>
      <c r="D210" s="3"/>
      <c r="E210" s="3"/>
      <c r="F210" s="3"/>
      <c r="G210" s="3" t="s">
        <v>223</v>
      </c>
      <c r="H210" s="22">
        <f t="shared" si="27"/>
        <v>191200</v>
      </c>
      <c r="I210" s="22">
        <f t="shared" si="27"/>
        <v>199641</v>
      </c>
      <c r="J210" s="201">
        <f t="shared" si="26"/>
        <v>104.41474895397489</v>
      </c>
    </row>
    <row r="211" spans="2:10" x14ac:dyDescent="0.2">
      <c r="B211" s="29">
        <f t="shared" si="18"/>
        <v>204</v>
      </c>
      <c r="C211" s="4"/>
      <c r="D211" s="4">
        <v>223</v>
      </c>
      <c r="E211" s="4"/>
      <c r="F211" s="4"/>
      <c r="G211" s="4" t="s">
        <v>25</v>
      </c>
      <c r="H211" s="23">
        <f t="shared" si="27"/>
        <v>191200</v>
      </c>
      <c r="I211" s="23">
        <f t="shared" si="27"/>
        <v>199641</v>
      </c>
      <c r="J211" s="201">
        <f t="shared" si="26"/>
        <v>104.41474895397489</v>
      </c>
    </row>
    <row r="212" spans="2:10" x14ac:dyDescent="0.2">
      <c r="B212" s="29">
        <f t="shared" si="18"/>
        <v>205</v>
      </c>
      <c r="C212" s="5"/>
      <c r="D212" s="5"/>
      <c r="E212" s="5">
        <v>223001</v>
      </c>
      <c r="F212" s="5"/>
      <c r="G212" s="5" t="s">
        <v>397</v>
      </c>
      <c r="H212" s="24">
        <v>191200</v>
      </c>
      <c r="I212" s="24">
        <v>199641</v>
      </c>
      <c r="J212" s="201">
        <f t="shared" si="26"/>
        <v>104.41474895397489</v>
      </c>
    </row>
    <row r="213" spans="2:10" x14ac:dyDescent="0.2">
      <c r="B213" s="29">
        <f t="shared" si="18"/>
        <v>206</v>
      </c>
      <c r="C213" s="8"/>
      <c r="D213" s="8"/>
      <c r="E213" s="8"/>
      <c r="F213" s="8"/>
      <c r="G213" s="8" t="s">
        <v>391</v>
      </c>
      <c r="H213" s="21">
        <f>H217</f>
        <v>9300</v>
      </c>
      <c r="I213" s="21">
        <f>I214+I217</f>
        <v>9538</v>
      </c>
      <c r="J213" s="201">
        <f t="shared" si="26"/>
        <v>102.55913978494624</v>
      </c>
    </row>
    <row r="214" spans="2:10" x14ac:dyDescent="0.2">
      <c r="B214" s="29">
        <f t="shared" si="18"/>
        <v>207</v>
      </c>
      <c r="C214" s="3">
        <v>210</v>
      </c>
      <c r="D214" s="3"/>
      <c r="E214" s="3"/>
      <c r="F214" s="3"/>
      <c r="G214" s="3" t="s">
        <v>21</v>
      </c>
      <c r="H214" s="22">
        <f>H215</f>
        <v>0</v>
      </c>
      <c r="I214" s="22">
        <f>I215</f>
        <v>105</v>
      </c>
      <c r="J214" s="201">
        <v>0</v>
      </c>
    </row>
    <row r="215" spans="2:10" x14ac:dyDescent="0.2">
      <c r="B215" s="29">
        <f t="shared" si="18"/>
        <v>208</v>
      </c>
      <c r="C215" s="4"/>
      <c r="D215" s="4">
        <v>212</v>
      </c>
      <c r="E215" s="4"/>
      <c r="F215" s="4"/>
      <c r="G215" s="4" t="s">
        <v>22</v>
      </c>
      <c r="H215" s="23">
        <f>H216</f>
        <v>0</v>
      </c>
      <c r="I215" s="23">
        <f>I216</f>
        <v>105</v>
      </c>
      <c r="J215" s="201">
        <v>0</v>
      </c>
    </row>
    <row r="216" spans="2:10" x14ac:dyDescent="0.2">
      <c r="B216" s="29">
        <f t="shared" si="18"/>
        <v>209</v>
      </c>
      <c r="C216" s="5"/>
      <c r="D216" s="5"/>
      <c r="E216" s="5">
        <v>212003</v>
      </c>
      <c r="F216" s="5"/>
      <c r="G216" s="5" t="s">
        <v>23</v>
      </c>
      <c r="H216" s="24">
        <v>0</v>
      </c>
      <c r="I216" s="24">
        <v>105</v>
      </c>
      <c r="J216" s="201">
        <v>0</v>
      </c>
    </row>
    <row r="217" spans="2:10" x14ac:dyDescent="0.2">
      <c r="B217" s="29">
        <f t="shared" si="18"/>
        <v>210</v>
      </c>
      <c r="C217" s="3">
        <v>220</v>
      </c>
      <c r="D217" s="3"/>
      <c r="E217" s="3"/>
      <c r="F217" s="3"/>
      <c r="G217" s="3" t="s">
        <v>223</v>
      </c>
      <c r="H217" s="22">
        <f t="shared" ref="H217:I218" si="28">H218</f>
        <v>9300</v>
      </c>
      <c r="I217" s="22">
        <f t="shared" si="28"/>
        <v>9433</v>
      </c>
      <c r="J217" s="201">
        <f t="shared" si="26"/>
        <v>101.43010752688173</v>
      </c>
    </row>
    <row r="218" spans="2:10" x14ac:dyDescent="0.2">
      <c r="B218" s="29">
        <f t="shared" si="18"/>
        <v>211</v>
      </c>
      <c r="C218" s="4"/>
      <c r="D218" s="4">
        <v>223</v>
      </c>
      <c r="E218" s="4"/>
      <c r="F218" s="4"/>
      <c r="G218" s="4" t="s">
        <v>25</v>
      </c>
      <c r="H218" s="23">
        <f t="shared" si="28"/>
        <v>9300</v>
      </c>
      <c r="I218" s="23">
        <f t="shared" si="28"/>
        <v>9433</v>
      </c>
      <c r="J218" s="201">
        <f t="shared" si="26"/>
        <v>101.43010752688173</v>
      </c>
    </row>
    <row r="219" spans="2:10" x14ac:dyDescent="0.2">
      <c r="B219" s="29">
        <f t="shared" si="18"/>
        <v>212</v>
      </c>
      <c r="C219" s="5"/>
      <c r="D219" s="5"/>
      <c r="E219" s="5">
        <v>223001</v>
      </c>
      <c r="F219" s="5"/>
      <c r="G219" s="5" t="s">
        <v>397</v>
      </c>
      <c r="H219" s="24">
        <v>9300</v>
      </c>
      <c r="I219" s="24">
        <v>9433</v>
      </c>
      <c r="J219" s="201">
        <f t="shared" si="26"/>
        <v>101.43010752688173</v>
      </c>
    </row>
    <row r="220" spans="2:10" x14ac:dyDescent="0.2">
      <c r="B220" s="29">
        <f t="shared" ref="B220:B223" si="29">B219+1</f>
        <v>213</v>
      </c>
      <c r="C220" s="8"/>
      <c r="D220" s="8"/>
      <c r="E220" s="8"/>
      <c r="F220" s="8"/>
      <c r="G220" s="8" t="s">
        <v>392</v>
      </c>
      <c r="H220" s="21">
        <f t="shared" ref="H220:I222" si="30">H221</f>
        <v>134000</v>
      </c>
      <c r="I220" s="21">
        <f t="shared" si="30"/>
        <v>146904</v>
      </c>
      <c r="J220" s="201">
        <f t="shared" si="26"/>
        <v>109.62985074626866</v>
      </c>
    </row>
    <row r="221" spans="2:10" x14ac:dyDescent="0.2">
      <c r="B221" s="29">
        <f t="shared" si="29"/>
        <v>214</v>
      </c>
      <c r="C221" s="3">
        <v>220</v>
      </c>
      <c r="D221" s="3"/>
      <c r="E221" s="3"/>
      <c r="F221" s="3"/>
      <c r="G221" s="3" t="s">
        <v>223</v>
      </c>
      <c r="H221" s="22">
        <f t="shared" si="30"/>
        <v>134000</v>
      </c>
      <c r="I221" s="22">
        <f t="shared" si="30"/>
        <v>146904</v>
      </c>
      <c r="J221" s="201">
        <f t="shared" si="26"/>
        <v>109.62985074626866</v>
      </c>
    </row>
    <row r="222" spans="2:10" x14ac:dyDescent="0.2">
      <c r="B222" s="29">
        <f t="shared" si="29"/>
        <v>215</v>
      </c>
      <c r="C222" s="4"/>
      <c r="D222" s="4">
        <v>223</v>
      </c>
      <c r="E222" s="4"/>
      <c r="F222" s="4"/>
      <c r="G222" s="4" t="s">
        <v>25</v>
      </c>
      <c r="H222" s="23">
        <f t="shared" si="30"/>
        <v>134000</v>
      </c>
      <c r="I222" s="23">
        <f t="shared" si="30"/>
        <v>146904</v>
      </c>
      <c r="J222" s="201">
        <f t="shared" si="26"/>
        <v>109.62985074626866</v>
      </c>
    </row>
    <row r="223" spans="2:10" x14ac:dyDescent="0.2">
      <c r="B223" s="29">
        <f t="shared" si="29"/>
        <v>216</v>
      </c>
      <c r="C223" s="5"/>
      <c r="D223" s="5"/>
      <c r="E223" s="5">
        <v>223001</v>
      </c>
      <c r="F223" s="5"/>
      <c r="G223" s="5" t="s">
        <v>397</v>
      </c>
      <c r="H223" s="24">
        <v>134000</v>
      </c>
      <c r="I223" s="24">
        <v>146904</v>
      </c>
      <c r="J223" s="201">
        <f t="shared" si="26"/>
        <v>109.62985074626866</v>
      </c>
    </row>
    <row r="224" spans="2:10" x14ac:dyDescent="0.2">
      <c r="B224" s="29">
        <f t="shared" ref="B224:B287" si="31">B223+1</f>
        <v>217</v>
      </c>
      <c r="C224" s="8"/>
      <c r="D224" s="8"/>
      <c r="E224" s="8"/>
      <c r="F224" s="8"/>
      <c r="G224" s="8" t="s">
        <v>395</v>
      </c>
      <c r="H224" s="21">
        <f t="shared" ref="H224:I226" si="32">H225</f>
        <v>82643</v>
      </c>
      <c r="I224" s="21">
        <f t="shared" si="32"/>
        <v>78197</v>
      </c>
      <c r="J224" s="201">
        <f t="shared" si="26"/>
        <v>94.620234018610176</v>
      </c>
    </row>
    <row r="225" spans="2:10" x14ac:dyDescent="0.2">
      <c r="B225" s="29">
        <f t="shared" si="31"/>
        <v>218</v>
      </c>
      <c r="C225" s="3">
        <v>220</v>
      </c>
      <c r="D225" s="3"/>
      <c r="E225" s="3"/>
      <c r="F225" s="3"/>
      <c r="G225" s="3" t="s">
        <v>223</v>
      </c>
      <c r="H225" s="22">
        <f t="shared" si="32"/>
        <v>82643</v>
      </c>
      <c r="I225" s="22">
        <f t="shared" si="32"/>
        <v>78197</v>
      </c>
      <c r="J225" s="201">
        <f t="shared" si="26"/>
        <v>94.620234018610176</v>
      </c>
    </row>
    <row r="226" spans="2:10" x14ac:dyDescent="0.2">
      <c r="B226" s="29">
        <f t="shared" si="31"/>
        <v>219</v>
      </c>
      <c r="C226" s="4"/>
      <c r="D226" s="4">
        <v>223</v>
      </c>
      <c r="E226" s="4"/>
      <c r="F226" s="4"/>
      <c r="G226" s="4" t="s">
        <v>25</v>
      </c>
      <c r="H226" s="23">
        <f t="shared" si="32"/>
        <v>82643</v>
      </c>
      <c r="I226" s="23">
        <f t="shared" si="32"/>
        <v>78197</v>
      </c>
      <c r="J226" s="201">
        <f t="shared" si="26"/>
        <v>94.620234018610176</v>
      </c>
    </row>
    <row r="227" spans="2:10" x14ac:dyDescent="0.2">
      <c r="B227" s="29">
        <f t="shared" si="31"/>
        <v>220</v>
      </c>
      <c r="C227" s="5"/>
      <c r="D227" s="5"/>
      <c r="E227" s="5">
        <v>223001</v>
      </c>
      <c r="F227" s="5"/>
      <c r="G227" s="5" t="s">
        <v>393</v>
      </c>
      <c r="H227" s="24">
        <f>95200-12557</f>
        <v>82643</v>
      </c>
      <c r="I227" s="24">
        <v>78197</v>
      </c>
      <c r="J227" s="201">
        <f t="shared" si="26"/>
        <v>94.620234018610176</v>
      </c>
    </row>
    <row r="228" spans="2:10" x14ac:dyDescent="0.2">
      <c r="B228" s="29">
        <f t="shared" si="31"/>
        <v>221</v>
      </c>
      <c r="C228" s="8"/>
      <c r="D228" s="8"/>
      <c r="E228" s="8"/>
      <c r="F228" s="8"/>
      <c r="G228" s="8" t="s">
        <v>396</v>
      </c>
      <c r="H228" s="21">
        <f t="shared" ref="H228:I230" si="33">H229</f>
        <v>5500</v>
      </c>
      <c r="I228" s="21">
        <f t="shared" si="33"/>
        <v>2983</v>
      </c>
      <c r="J228" s="201">
        <f t="shared" si="26"/>
        <v>54.236363636363635</v>
      </c>
    </row>
    <row r="229" spans="2:10" x14ac:dyDescent="0.2">
      <c r="B229" s="29">
        <f t="shared" si="31"/>
        <v>222</v>
      </c>
      <c r="C229" s="3">
        <v>220</v>
      </c>
      <c r="D229" s="3"/>
      <c r="E229" s="3"/>
      <c r="F229" s="3"/>
      <c r="G229" s="3" t="s">
        <v>223</v>
      </c>
      <c r="H229" s="22">
        <f t="shared" si="33"/>
        <v>5500</v>
      </c>
      <c r="I229" s="22">
        <f t="shared" si="33"/>
        <v>2983</v>
      </c>
      <c r="J229" s="201">
        <f t="shared" si="26"/>
        <v>54.236363636363635</v>
      </c>
    </row>
    <row r="230" spans="2:10" x14ac:dyDescent="0.2">
      <c r="B230" s="29">
        <f t="shared" si="31"/>
        <v>223</v>
      </c>
      <c r="C230" s="4"/>
      <c r="D230" s="4">
        <v>223</v>
      </c>
      <c r="E230" s="4"/>
      <c r="F230" s="4"/>
      <c r="G230" s="4" t="s">
        <v>25</v>
      </c>
      <c r="H230" s="23">
        <f t="shared" si="33"/>
        <v>5500</v>
      </c>
      <c r="I230" s="23">
        <f t="shared" si="33"/>
        <v>2983</v>
      </c>
      <c r="J230" s="201">
        <f t="shared" si="26"/>
        <v>54.236363636363635</v>
      </c>
    </row>
    <row r="231" spans="2:10" x14ac:dyDescent="0.2">
      <c r="B231" s="29">
        <f t="shared" si="31"/>
        <v>224</v>
      </c>
      <c r="C231" s="5"/>
      <c r="D231" s="5"/>
      <c r="E231" s="5">
        <v>223001</v>
      </c>
      <c r="F231" s="5"/>
      <c r="G231" s="5" t="s">
        <v>394</v>
      </c>
      <c r="H231" s="24">
        <v>5500</v>
      </c>
      <c r="I231" s="24">
        <v>2983</v>
      </c>
      <c r="J231" s="201">
        <f t="shared" si="26"/>
        <v>54.236363636363635</v>
      </c>
    </row>
    <row r="232" spans="2:10" x14ac:dyDescent="0.2">
      <c r="B232" s="29">
        <f t="shared" si="31"/>
        <v>225</v>
      </c>
      <c r="C232" s="8"/>
      <c r="D232" s="8"/>
      <c r="E232" s="8"/>
      <c r="F232" s="8"/>
      <c r="G232" s="8" t="s">
        <v>287</v>
      </c>
      <c r="H232" s="21">
        <f t="shared" ref="H232:I234" si="34">H233</f>
        <v>7300</v>
      </c>
      <c r="I232" s="21">
        <f t="shared" si="34"/>
        <v>11183</v>
      </c>
      <c r="J232" s="201">
        <f t="shared" si="26"/>
        <v>153.1917808219178</v>
      </c>
    </row>
    <row r="233" spans="2:10" x14ac:dyDescent="0.2">
      <c r="B233" s="29">
        <f t="shared" si="31"/>
        <v>226</v>
      </c>
      <c r="C233" s="3">
        <v>220</v>
      </c>
      <c r="D233" s="3"/>
      <c r="E233" s="3"/>
      <c r="F233" s="3"/>
      <c r="G233" s="3" t="s">
        <v>223</v>
      </c>
      <c r="H233" s="22">
        <f t="shared" si="34"/>
        <v>7300</v>
      </c>
      <c r="I233" s="22">
        <f t="shared" si="34"/>
        <v>11183</v>
      </c>
      <c r="J233" s="201">
        <f t="shared" si="26"/>
        <v>153.1917808219178</v>
      </c>
    </row>
    <row r="234" spans="2:10" x14ac:dyDescent="0.2">
      <c r="B234" s="29">
        <f t="shared" si="31"/>
        <v>227</v>
      </c>
      <c r="C234" s="4"/>
      <c r="D234" s="4">
        <v>223</v>
      </c>
      <c r="E234" s="4"/>
      <c r="F234" s="4"/>
      <c r="G234" s="4" t="s">
        <v>25</v>
      </c>
      <c r="H234" s="23">
        <f t="shared" si="34"/>
        <v>7300</v>
      </c>
      <c r="I234" s="23">
        <f t="shared" si="34"/>
        <v>11183</v>
      </c>
      <c r="J234" s="201">
        <f t="shared" si="26"/>
        <v>153.1917808219178</v>
      </c>
    </row>
    <row r="235" spans="2:10" x14ac:dyDescent="0.2">
      <c r="B235" s="29">
        <f t="shared" si="31"/>
        <v>228</v>
      </c>
      <c r="C235" s="5"/>
      <c r="D235" s="5"/>
      <c r="E235" s="5">
        <v>223001</v>
      </c>
      <c r="F235" s="5"/>
      <c r="G235" s="5" t="s">
        <v>26</v>
      </c>
      <c r="H235" s="24">
        <v>7300</v>
      </c>
      <c r="I235" s="24">
        <v>11183</v>
      </c>
      <c r="J235" s="201">
        <f t="shared" si="26"/>
        <v>153.1917808219178</v>
      </c>
    </row>
    <row r="236" spans="2:10" x14ac:dyDescent="0.2">
      <c r="B236" s="29">
        <f t="shared" si="31"/>
        <v>229</v>
      </c>
      <c r="C236" s="8">
        <v>240</v>
      </c>
      <c r="D236" s="8"/>
      <c r="E236" s="8"/>
      <c r="F236" s="8"/>
      <c r="G236" s="8" t="s">
        <v>173</v>
      </c>
      <c r="H236" s="21">
        <f>H237</f>
        <v>0</v>
      </c>
      <c r="I236" s="21">
        <f>I237</f>
        <v>9</v>
      </c>
      <c r="J236" s="201">
        <v>0</v>
      </c>
    </row>
    <row r="237" spans="2:10" x14ac:dyDescent="0.2">
      <c r="B237" s="29">
        <f t="shared" si="31"/>
        <v>230</v>
      </c>
      <c r="C237" s="3"/>
      <c r="D237" s="3">
        <v>242</v>
      </c>
      <c r="E237" s="3"/>
      <c r="F237" s="3"/>
      <c r="G237" s="3" t="s">
        <v>172</v>
      </c>
      <c r="H237" s="22">
        <f>H238</f>
        <v>0</v>
      </c>
      <c r="I237" s="22">
        <f>I238</f>
        <v>9</v>
      </c>
      <c r="J237" s="201">
        <v>0</v>
      </c>
    </row>
    <row r="238" spans="2:10" x14ac:dyDescent="0.2">
      <c r="B238" s="29">
        <f t="shared" si="31"/>
        <v>231</v>
      </c>
      <c r="C238" s="4"/>
      <c r="D238" s="4"/>
      <c r="E238" s="4">
        <v>242</v>
      </c>
      <c r="F238" s="4"/>
      <c r="G238" s="4" t="s">
        <v>172</v>
      </c>
      <c r="H238" s="23">
        <v>0</v>
      </c>
      <c r="I238" s="23">
        <v>9</v>
      </c>
      <c r="J238" s="201">
        <v>0</v>
      </c>
    </row>
    <row r="239" spans="2:10" x14ac:dyDescent="0.2">
      <c r="B239" s="29">
        <f t="shared" si="31"/>
        <v>232</v>
      </c>
      <c r="C239" s="8">
        <v>290</v>
      </c>
      <c r="D239" s="8"/>
      <c r="E239" s="8"/>
      <c r="F239" s="8"/>
      <c r="G239" s="8" t="s">
        <v>174</v>
      </c>
      <c r="H239" s="21">
        <f>H240</f>
        <v>20514</v>
      </c>
      <c r="I239" s="21">
        <f>I240</f>
        <v>26466</v>
      </c>
      <c r="J239" s="201">
        <f t="shared" si="26"/>
        <v>129.01433167592864</v>
      </c>
    </row>
    <row r="240" spans="2:10" x14ac:dyDescent="0.2">
      <c r="B240" s="29">
        <f t="shared" si="31"/>
        <v>233</v>
      </c>
      <c r="C240" s="3"/>
      <c r="D240" s="3">
        <v>292</v>
      </c>
      <c r="E240" s="3"/>
      <c r="F240" s="3"/>
      <c r="G240" s="3" t="s">
        <v>175</v>
      </c>
      <c r="H240" s="22">
        <f>H241</f>
        <v>20514</v>
      </c>
      <c r="I240" s="22">
        <f>I241</f>
        <v>26466</v>
      </c>
      <c r="J240" s="201">
        <f t="shared" si="26"/>
        <v>129.01433167592864</v>
      </c>
    </row>
    <row r="241" spans="2:10" ht="13.5" thickBot="1" x14ac:dyDescent="0.25">
      <c r="B241" s="29">
        <f t="shared" si="31"/>
        <v>234</v>
      </c>
      <c r="C241" s="3"/>
      <c r="D241" s="3"/>
      <c r="E241" s="4">
        <v>292</v>
      </c>
      <c r="F241" s="4"/>
      <c r="G241" s="4" t="s">
        <v>175</v>
      </c>
      <c r="H241" s="23">
        <v>20514</v>
      </c>
      <c r="I241" s="23">
        <f>21160+3651+1655</f>
        <v>26466</v>
      </c>
      <c r="J241" s="201">
        <f t="shared" si="26"/>
        <v>129.01433167592864</v>
      </c>
    </row>
    <row r="242" spans="2:10" ht="15.75" thickBot="1" x14ac:dyDescent="0.3">
      <c r="B242" s="29">
        <f t="shared" si="31"/>
        <v>235</v>
      </c>
      <c r="C242" s="14">
        <v>6</v>
      </c>
      <c r="D242" s="14"/>
      <c r="E242" s="14"/>
      <c r="F242" s="14"/>
      <c r="G242" s="14" t="s">
        <v>81</v>
      </c>
      <c r="H242" s="20">
        <f>H253+H250+H246+H243</f>
        <v>25234</v>
      </c>
      <c r="I242" s="20">
        <f>I243+I246+I250+I253</f>
        <v>26308</v>
      </c>
      <c r="J242" s="201">
        <f t="shared" si="26"/>
        <v>104.25616232067844</v>
      </c>
    </row>
    <row r="243" spans="2:10" x14ac:dyDescent="0.2">
      <c r="B243" s="29">
        <f t="shared" si="31"/>
        <v>236</v>
      </c>
      <c r="C243" s="8">
        <v>210</v>
      </c>
      <c r="D243" s="8"/>
      <c r="E243" s="8"/>
      <c r="F243" s="8"/>
      <c r="G243" s="8" t="s">
        <v>21</v>
      </c>
      <c r="H243" s="21">
        <f>H244</f>
        <v>1349</v>
      </c>
      <c r="I243" s="21">
        <f>I244</f>
        <v>1349</v>
      </c>
      <c r="J243" s="201">
        <f t="shared" si="26"/>
        <v>100</v>
      </c>
    </row>
    <row r="244" spans="2:10" x14ac:dyDescent="0.2">
      <c r="B244" s="29">
        <f t="shared" si="31"/>
        <v>237</v>
      </c>
      <c r="C244" s="3"/>
      <c r="D244" s="3">
        <v>212</v>
      </c>
      <c r="E244" s="3"/>
      <c r="F244" s="3"/>
      <c r="G244" s="3" t="s">
        <v>22</v>
      </c>
      <c r="H244" s="22">
        <f>H245</f>
        <v>1349</v>
      </c>
      <c r="I244" s="22">
        <f>I245</f>
        <v>1349</v>
      </c>
      <c r="J244" s="201">
        <f t="shared" si="26"/>
        <v>100</v>
      </c>
    </row>
    <row r="245" spans="2:10" x14ac:dyDescent="0.2">
      <c r="B245" s="29">
        <f t="shared" si="31"/>
        <v>238</v>
      </c>
      <c r="C245" s="4"/>
      <c r="D245" s="4"/>
      <c r="E245" s="4">
        <v>212003</v>
      </c>
      <c r="F245" s="4"/>
      <c r="G245" s="4" t="s">
        <v>23</v>
      </c>
      <c r="H245" s="23">
        <f>1455-106</f>
        <v>1349</v>
      </c>
      <c r="I245" s="23">
        <v>1349</v>
      </c>
      <c r="J245" s="201">
        <f t="shared" si="26"/>
        <v>100</v>
      </c>
    </row>
    <row r="246" spans="2:10" x14ac:dyDescent="0.2">
      <c r="B246" s="29">
        <f t="shared" si="31"/>
        <v>239</v>
      </c>
      <c r="C246" s="8">
        <v>220</v>
      </c>
      <c r="D246" s="8"/>
      <c r="E246" s="8"/>
      <c r="F246" s="8"/>
      <c r="G246" s="8" t="s">
        <v>223</v>
      </c>
      <c r="H246" s="21">
        <f>H247</f>
        <v>23000</v>
      </c>
      <c r="I246" s="21">
        <f>I247</f>
        <v>24130</v>
      </c>
      <c r="J246" s="201">
        <f t="shared" si="26"/>
        <v>104.91304347826087</v>
      </c>
    </row>
    <row r="247" spans="2:10" x14ac:dyDescent="0.2">
      <c r="B247" s="29">
        <f t="shared" si="31"/>
        <v>240</v>
      </c>
      <c r="C247" s="3"/>
      <c r="D247" s="3">
        <v>223</v>
      </c>
      <c r="E247" s="3"/>
      <c r="F247" s="3"/>
      <c r="G247" s="3" t="s">
        <v>25</v>
      </c>
      <c r="H247" s="22">
        <f>H249+H248</f>
        <v>23000</v>
      </c>
      <c r="I247" s="22">
        <f>I249+I248</f>
        <v>24130</v>
      </c>
      <c r="J247" s="201">
        <f t="shared" si="26"/>
        <v>104.91304347826087</v>
      </c>
    </row>
    <row r="248" spans="2:10" x14ac:dyDescent="0.2">
      <c r="B248" s="29">
        <f t="shared" si="31"/>
        <v>241</v>
      </c>
      <c r="C248" s="3"/>
      <c r="D248" s="3"/>
      <c r="E248" s="4">
        <v>223001</v>
      </c>
      <c r="F248" s="4"/>
      <c r="G248" s="4" t="s">
        <v>229</v>
      </c>
      <c r="H248" s="23">
        <v>11000</v>
      </c>
      <c r="I248" s="23">
        <v>11018</v>
      </c>
      <c r="J248" s="201">
        <f t="shared" si="26"/>
        <v>100.16363636363637</v>
      </c>
    </row>
    <row r="249" spans="2:10" x14ac:dyDescent="0.2">
      <c r="B249" s="29">
        <f t="shared" si="31"/>
        <v>242</v>
      </c>
      <c r="C249" s="4"/>
      <c r="D249" s="4"/>
      <c r="E249" s="4">
        <v>223002</v>
      </c>
      <c r="F249" s="4"/>
      <c r="G249" s="4" t="s">
        <v>67</v>
      </c>
      <c r="H249" s="23">
        <v>12000</v>
      </c>
      <c r="I249" s="23">
        <v>13112</v>
      </c>
      <c r="J249" s="201">
        <f t="shared" si="26"/>
        <v>109.26666666666667</v>
      </c>
    </row>
    <row r="250" spans="2:10" x14ac:dyDescent="0.2">
      <c r="B250" s="29">
        <f t="shared" si="31"/>
        <v>243</v>
      </c>
      <c r="C250" s="8">
        <v>240</v>
      </c>
      <c r="D250" s="8"/>
      <c r="E250" s="8"/>
      <c r="F250" s="8"/>
      <c r="G250" s="8" t="s">
        <v>173</v>
      </c>
      <c r="H250" s="21">
        <f>H251</f>
        <v>5</v>
      </c>
      <c r="I250" s="21">
        <f>I251</f>
        <v>2</v>
      </c>
      <c r="J250" s="201">
        <f t="shared" si="26"/>
        <v>40</v>
      </c>
    </row>
    <row r="251" spans="2:10" x14ac:dyDescent="0.2">
      <c r="B251" s="29">
        <f t="shared" si="31"/>
        <v>244</v>
      </c>
      <c r="C251" s="3"/>
      <c r="D251" s="3">
        <v>242</v>
      </c>
      <c r="E251" s="3"/>
      <c r="F251" s="3"/>
      <c r="G251" s="3" t="s">
        <v>172</v>
      </c>
      <c r="H251" s="22">
        <f>H252</f>
        <v>5</v>
      </c>
      <c r="I251" s="22">
        <f>I252</f>
        <v>2</v>
      </c>
      <c r="J251" s="201">
        <f t="shared" si="26"/>
        <v>40</v>
      </c>
    </row>
    <row r="252" spans="2:10" x14ac:dyDescent="0.2">
      <c r="B252" s="29">
        <f t="shared" si="31"/>
        <v>245</v>
      </c>
      <c r="C252" s="4"/>
      <c r="D252" s="4"/>
      <c r="E252" s="4">
        <v>242</v>
      </c>
      <c r="F252" s="4"/>
      <c r="G252" s="4" t="s">
        <v>172</v>
      </c>
      <c r="H252" s="23">
        <v>5</v>
      </c>
      <c r="I252" s="23">
        <v>2</v>
      </c>
      <c r="J252" s="201">
        <f t="shared" si="26"/>
        <v>40</v>
      </c>
    </row>
    <row r="253" spans="2:10" x14ac:dyDescent="0.2">
      <c r="B253" s="29">
        <f t="shared" si="31"/>
        <v>246</v>
      </c>
      <c r="C253" s="8">
        <v>290</v>
      </c>
      <c r="D253" s="8"/>
      <c r="E253" s="8"/>
      <c r="F253" s="8"/>
      <c r="G253" s="8" t="s">
        <v>174</v>
      </c>
      <c r="H253" s="21">
        <f>H254</f>
        <v>880</v>
      </c>
      <c r="I253" s="21">
        <f>I254</f>
        <v>827</v>
      </c>
      <c r="J253" s="201">
        <f t="shared" si="26"/>
        <v>93.977272727272734</v>
      </c>
    </row>
    <row r="254" spans="2:10" x14ac:dyDescent="0.2">
      <c r="B254" s="29">
        <f t="shared" si="31"/>
        <v>247</v>
      </c>
      <c r="C254" s="3"/>
      <c r="D254" s="3">
        <v>292</v>
      </c>
      <c r="E254" s="3"/>
      <c r="F254" s="3"/>
      <c r="G254" s="3" t="s">
        <v>175</v>
      </c>
      <c r="H254" s="22">
        <f>H255+H256</f>
        <v>880</v>
      </c>
      <c r="I254" s="22">
        <f>I255+I256</f>
        <v>827</v>
      </c>
      <c r="J254" s="201">
        <f t="shared" si="26"/>
        <v>93.977272727272734</v>
      </c>
    </row>
    <row r="255" spans="2:10" x14ac:dyDescent="0.2">
      <c r="B255" s="29">
        <f t="shared" si="31"/>
        <v>248</v>
      </c>
      <c r="C255" s="4"/>
      <c r="D255" s="4"/>
      <c r="E255" s="4">
        <v>292012</v>
      </c>
      <c r="F255" s="4"/>
      <c r="G255" s="4" t="s">
        <v>7</v>
      </c>
      <c r="H255" s="23">
        <v>430</v>
      </c>
      <c r="I255" s="23">
        <v>377</v>
      </c>
      <c r="J255" s="201">
        <f t="shared" si="26"/>
        <v>87.674418604651166</v>
      </c>
    </row>
    <row r="256" spans="2:10" ht="13.5" thickBot="1" x14ac:dyDescent="0.25">
      <c r="B256" s="29">
        <f t="shared" si="31"/>
        <v>249</v>
      </c>
      <c r="C256" s="4"/>
      <c r="D256" s="4"/>
      <c r="E256" s="4">
        <v>292017</v>
      </c>
      <c r="F256" s="4"/>
      <c r="G256" s="4" t="s">
        <v>532</v>
      </c>
      <c r="H256" s="23">
        <v>450</v>
      </c>
      <c r="I256" s="23">
        <v>450</v>
      </c>
      <c r="J256" s="201">
        <f t="shared" si="26"/>
        <v>100</v>
      </c>
    </row>
    <row r="257" spans="2:10" ht="15.75" thickBot="1" x14ac:dyDescent="0.3">
      <c r="B257" s="29">
        <f t="shared" si="31"/>
        <v>250</v>
      </c>
      <c r="C257" s="14">
        <v>7</v>
      </c>
      <c r="D257" s="14"/>
      <c r="E257" s="14"/>
      <c r="F257" s="14"/>
      <c r="G257" s="14" t="s">
        <v>315</v>
      </c>
      <c r="H257" s="20">
        <f>H261+H258+H265</f>
        <v>35632</v>
      </c>
      <c r="I257" s="20">
        <f>I258+I261+I265</f>
        <v>34346</v>
      </c>
      <c r="J257" s="201">
        <f t="shared" si="26"/>
        <v>96.390884598114056</v>
      </c>
    </row>
    <row r="258" spans="2:10" x14ac:dyDescent="0.2">
      <c r="B258" s="29">
        <f t="shared" si="31"/>
        <v>251</v>
      </c>
      <c r="C258" s="8">
        <v>210</v>
      </c>
      <c r="D258" s="8"/>
      <c r="E258" s="8"/>
      <c r="F258" s="8"/>
      <c r="G258" s="8" t="s">
        <v>21</v>
      </c>
      <c r="H258" s="21">
        <f>H259</f>
        <v>2000</v>
      </c>
      <c r="I258" s="21">
        <f>I259</f>
        <v>1722</v>
      </c>
      <c r="J258" s="201">
        <f t="shared" si="26"/>
        <v>86.1</v>
      </c>
    </row>
    <row r="259" spans="2:10" x14ac:dyDescent="0.2">
      <c r="B259" s="29">
        <f t="shared" si="31"/>
        <v>252</v>
      </c>
      <c r="C259" s="3"/>
      <c r="D259" s="3">
        <v>212</v>
      </c>
      <c r="E259" s="3"/>
      <c r="F259" s="3"/>
      <c r="G259" s="3" t="s">
        <v>22</v>
      </c>
      <c r="H259" s="22">
        <f>H260</f>
        <v>2000</v>
      </c>
      <c r="I259" s="22">
        <f>I260</f>
        <v>1722</v>
      </c>
      <c r="J259" s="201">
        <f t="shared" si="26"/>
        <v>86.1</v>
      </c>
    </row>
    <row r="260" spans="2:10" x14ac:dyDescent="0.2">
      <c r="B260" s="29">
        <f t="shared" si="31"/>
        <v>253</v>
      </c>
      <c r="C260" s="4"/>
      <c r="D260" s="4"/>
      <c r="E260" s="4">
        <v>212003</v>
      </c>
      <c r="F260" s="4"/>
      <c r="G260" s="4" t="s">
        <v>23</v>
      </c>
      <c r="H260" s="23">
        <v>2000</v>
      </c>
      <c r="I260" s="23">
        <f>628+645+139+12+298</f>
        <v>1722</v>
      </c>
      <c r="J260" s="201">
        <f t="shared" si="26"/>
        <v>86.1</v>
      </c>
    </row>
    <row r="261" spans="2:10" x14ac:dyDescent="0.2">
      <c r="B261" s="29">
        <f t="shared" si="31"/>
        <v>254</v>
      </c>
      <c r="C261" s="8">
        <v>220</v>
      </c>
      <c r="D261" s="8"/>
      <c r="E261" s="8"/>
      <c r="F261" s="8"/>
      <c r="G261" s="8" t="s">
        <v>223</v>
      </c>
      <c r="H261" s="21">
        <f>H262</f>
        <v>29100</v>
      </c>
      <c r="I261" s="21">
        <f>I262</f>
        <v>30835</v>
      </c>
      <c r="J261" s="201">
        <f t="shared" ref="J261:J323" si="35">I261/H261*100</f>
        <v>105.96219931271477</v>
      </c>
    </row>
    <row r="262" spans="2:10" x14ac:dyDescent="0.2">
      <c r="B262" s="29">
        <f t="shared" si="31"/>
        <v>255</v>
      </c>
      <c r="C262" s="3"/>
      <c r="D262" s="3">
        <v>223</v>
      </c>
      <c r="E262" s="3"/>
      <c r="F262" s="3"/>
      <c r="G262" s="3" t="s">
        <v>25</v>
      </c>
      <c r="H262" s="22">
        <f>H264+H263</f>
        <v>29100</v>
      </c>
      <c r="I262" s="22">
        <f>I264+I263</f>
        <v>30835</v>
      </c>
      <c r="J262" s="201">
        <f t="shared" si="35"/>
        <v>105.96219931271477</v>
      </c>
    </row>
    <row r="263" spans="2:10" x14ac:dyDescent="0.2">
      <c r="B263" s="29">
        <f t="shared" si="31"/>
        <v>256</v>
      </c>
      <c r="C263" s="3"/>
      <c r="D263" s="3"/>
      <c r="E263" s="4">
        <v>223001</v>
      </c>
      <c r="F263" s="4"/>
      <c r="G263" s="4" t="s">
        <v>229</v>
      </c>
      <c r="H263" s="23">
        <f>12000+2800</f>
        <v>14800</v>
      </c>
      <c r="I263" s="23">
        <f>6564+9238</f>
        <v>15802</v>
      </c>
      <c r="J263" s="201">
        <f t="shared" si="35"/>
        <v>106.77027027027026</v>
      </c>
    </row>
    <row r="264" spans="2:10" x14ac:dyDescent="0.2">
      <c r="B264" s="29">
        <f t="shared" si="31"/>
        <v>257</v>
      </c>
      <c r="C264" s="4"/>
      <c r="D264" s="4"/>
      <c r="E264" s="4">
        <v>223002</v>
      </c>
      <c r="F264" s="4"/>
      <c r="G264" s="4" t="s">
        <v>67</v>
      </c>
      <c r="H264" s="23">
        <f>11000+3300</f>
        <v>14300</v>
      </c>
      <c r="I264" s="23">
        <v>15033</v>
      </c>
      <c r="J264" s="201">
        <f t="shared" si="35"/>
        <v>105.12587412587413</v>
      </c>
    </row>
    <row r="265" spans="2:10" x14ac:dyDescent="0.2">
      <c r="B265" s="29">
        <f t="shared" si="31"/>
        <v>258</v>
      </c>
      <c r="C265" s="8">
        <v>290</v>
      </c>
      <c r="D265" s="8"/>
      <c r="E265" s="8"/>
      <c r="F265" s="8"/>
      <c r="G265" s="8" t="s">
        <v>174</v>
      </c>
      <c r="H265" s="21">
        <f>H266</f>
        <v>4532</v>
      </c>
      <c r="I265" s="21">
        <f>I266</f>
        <v>1789</v>
      </c>
      <c r="J265" s="201">
        <f t="shared" si="35"/>
        <v>39.474845542806705</v>
      </c>
    </row>
    <row r="266" spans="2:10" x14ac:dyDescent="0.2">
      <c r="B266" s="29">
        <f t="shared" si="31"/>
        <v>259</v>
      </c>
      <c r="C266" s="3"/>
      <c r="D266" s="3">
        <v>292</v>
      </c>
      <c r="E266" s="3"/>
      <c r="F266" s="3"/>
      <c r="G266" s="3" t="s">
        <v>175</v>
      </c>
      <c r="H266" s="22">
        <f>H267</f>
        <v>4532</v>
      </c>
      <c r="I266" s="22">
        <f>I267</f>
        <v>1789</v>
      </c>
      <c r="J266" s="201">
        <f t="shared" si="35"/>
        <v>39.474845542806705</v>
      </c>
    </row>
    <row r="267" spans="2:10" ht="13.5" thickBot="1" x14ac:dyDescent="0.25">
      <c r="B267" s="29">
        <f t="shared" si="31"/>
        <v>260</v>
      </c>
      <c r="C267" s="4"/>
      <c r="D267" s="4"/>
      <c r="E267" s="4">
        <v>292</v>
      </c>
      <c r="F267" s="4"/>
      <c r="G267" s="4" t="s">
        <v>772</v>
      </c>
      <c r="H267" s="58">
        <v>4532</v>
      </c>
      <c r="I267" s="58">
        <v>1789</v>
      </c>
      <c r="J267" s="201">
        <f t="shared" si="35"/>
        <v>39.474845542806705</v>
      </c>
    </row>
    <row r="268" spans="2:10" ht="15.75" thickBot="1" x14ac:dyDescent="0.3">
      <c r="B268" s="29">
        <f t="shared" si="31"/>
        <v>261</v>
      </c>
      <c r="C268" s="14">
        <v>8</v>
      </c>
      <c r="D268" s="14"/>
      <c r="E268" s="14"/>
      <c r="F268" s="14"/>
      <c r="G268" s="14" t="s">
        <v>313</v>
      </c>
      <c r="H268" s="20">
        <f>H278+H275+H272+H269</f>
        <v>42990</v>
      </c>
      <c r="I268" s="20">
        <f>I269+I272+I275+I278</f>
        <v>42498</v>
      </c>
      <c r="J268" s="201">
        <f t="shared" si="35"/>
        <v>98.855547801814382</v>
      </c>
    </row>
    <row r="269" spans="2:10" x14ac:dyDescent="0.2">
      <c r="B269" s="29">
        <f t="shared" si="31"/>
        <v>262</v>
      </c>
      <c r="C269" s="8">
        <v>210</v>
      </c>
      <c r="D269" s="8"/>
      <c r="E269" s="8"/>
      <c r="F269" s="8"/>
      <c r="G269" s="8" t="s">
        <v>21</v>
      </c>
      <c r="H269" s="21">
        <f>H270</f>
        <v>19760</v>
      </c>
      <c r="I269" s="21">
        <f>I270</f>
        <v>19660</v>
      </c>
      <c r="J269" s="201">
        <f t="shared" si="35"/>
        <v>99.493927125506076</v>
      </c>
    </row>
    <row r="270" spans="2:10" x14ac:dyDescent="0.2">
      <c r="B270" s="29">
        <f t="shared" si="31"/>
        <v>263</v>
      </c>
      <c r="C270" s="3"/>
      <c r="D270" s="3">
        <v>212</v>
      </c>
      <c r="E270" s="3"/>
      <c r="F270" s="3"/>
      <c r="G270" s="3" t="s">
        <v>22</v>
      </c>
      <c r="H270" s="22">
        <f>H271</f>
        <v>19760</v>
      </c>
      <c r="I270" s="22">
        <f>I271</f>
        <v>19660</v>
      </c>
      <c r="J270" s="201">
        <f t="shared" si="35"/>
        <v>99.493927125506076</v>
      </c>
    </row>
    <row r="271" spans="2:10" x14ac:dyDescent="0.2">
      <c r="B271" s="29">
        <f t="shared" si="31"/>
        <v>264</v>
      </c>
      <c r="C271" s="4"/>
      <c r="D271" s="4"/>
      <c r="E271" s="4">
        <v>212003</v>
      </c>
      <c r="F271" s="4"/>
      <c r="G271" s="4" t="s">
        <v>23</v>
      </c>
      <c r="H271" s="23">
        <f>18025+1735</f>
        <v>19760</v>
      </c>
      <c r="I271" s="23">
        <v>19660</v>
      </c>
      <c r="J271" s="201">
        <f t="shared" si="35"/>
        <v>99.493927125506076</v>
      </c>
    </row>
    <row r="272" spans="2:10" x14ac:dyDescent="0.2">
      <c r="B272" s="29">
        <f t="shared" si="31"/>
        <v>265</v>
      </c>
      <c r="C272" s="8">
        <v>220</v>
      </c>
      <c r="D272" s="8"/>
      <c r="E272" s="8"/>
      <c r="F272" s="8"/>
      <c r="G272" s="8" t="s">
        <v>223</v>
      </c>
      <c r="H272" s="21">
        <f>H273</f>
        <v>21500</v>
      </c>
      <c r="I272" s="21">
        <f>I273</f>
        <v>21610</v>
      </c>
      <c r="J272" s="201">
        <f t="shared" si="35"/>
        <v>100.51162790697674</v>
      </c>
    </row>
    <row r="273" spans="2:10" x14ac:dyDescent="0.2">
      <c r="B273" s="29">
        <f t="shared" si="31"/>
        <v>266</v>
      </c>
      <c r="C273" s="3"/>
      <c r="D273" s="3">
        <v>223</v>
      </c>
      <c r="E273" s="3"/>
      <c r="F273" s="3"/>
      <c r="G273" s="3" t="s">
        <v>25</v>
      </c>
      <c r="H273" s="22">
        <f>H274</f>
        <v>21500</v>
      </c>
      <c r="I273" s="22">
        <f>I274</f>
        <v>21610</v>
      </c>
      <c r="J273" s="201">
        <f t="shared" si="35"/>
        <v>100.51162790697674</v>
      </c>
    </row>
    <row r="274" spans="2:10" x14ac:dyDescent="0.2">
      <c r="B274" s="29">
        <f t="shared" si="31"/>
        <v>267</v>
      </c>
      <c r="C274" s="4"/>
      <c r="D274" s="4"/>
      <c r="E274" s="4">
        <v>223002</v>
      </c>
      <c r="F274" s="4"/>
      <c r="G274" s="4" t="s">
        <v>67</v>
      </c>
      <c r="H274" s="23">
        <f>20000+1500</f>
        <v>21500</v>
      </c>
      <c r="I274" s="23">
        <v>21610</v>
      </c>
      <c r="J274" s="201">
        <f t="shared" si="35"/>
        <v>100.51162790697674</v>
      </c>
    </row>
    <row r="275" spans="2:10" x14ac:dyDescent="0.2">
      <c r="B275" s="29">
        <f t="shared" si="31"/>
        <v>268</v>
      </c>
      <c r="C275" s="8">
        <v>240</v>
      </c>
      <c r="D275" s="8"/>
      <c r="E275" s="8"/>
      <c r="F275" s="8"/>
      <c r="G275" s="8" t="s">
        <v>173</v>
      </c>
      <c r="H275" s="21">
        <f>H276</f>
        <v>5</v>
      </c>
      <c r="I275" s="21">
        <f>I276</f>
        <v>4</v>
      </c>
      <c r="J275" s="201">
        <f t="shared" si="35"/>
        <v>80</v>
      </c>
    </row>
    <row r="276" spans="2:10" x14ac:dyDescent="0.2">
      <c r="B276" s="29">
        <f t="shared" si="31"/>
        <v>269</v>
      </c>
      <c r="C276" s="3"/>
      <c r="D276" s="3">
        <v>242</v>
      </c>
      <c r="E276" s="3"/>
      <c r="F276" s="3"/>
      <c r="G276" s="3" t="s">
        <v>172</v>
      </c>
      <c r="H276" s="22">
        <f>H277</f>
        <v>5</v>
      </c>
      <c r="I276" s="22">
        <f>I277</f>
        <v>4</v>
      </c>
      <c r="J276" s="201">
        <f t="shared" si="35"/>
        <v>80</v>
      </c>
    </row>
    <row r="277" spans="2:10" x14ac:dyDescent="0.2">
      <c r="B277" s="29">
        <f t="shared" si="31"/>
        <v>270</v>
      </c>
      <c r="C277" s="4"/>
      <c r="D277" s="4"/>
      <c r="E277" s="4">
        <v>242</v>
      </c>
      <c r="F277" s="4"/>
      <c r="G277" s="4" t="s">
        <v>172</v>
      </c>
      <c r="H277" s="23">
        <v>5</v>
      </c>
      <c r="I277" s="23">
        <v>4</v>
      </c>
      <c r="J277" s="201">
        <f t="shared" si="35"/>
        <v>80</v>
      </c>
    </row>
    <row r="278" spans="2:10" x14ac:dyDescent="0.2">
      <c r="B278" s="29">
        <f t="shared" si="31"/>
        <v>271</v>
      </c>
      <c r="C278" s="8">
        <v>290</v>
      </c>
      <c r="D278" s="8"/>
      <c r="E278" s="8"/>
      <c r="F278" s="8"/>
      <c r="G278" s="8" t="s">
        <v>174</v>
      </c>
      <c r="H278" s="21">
        <f>H279</f>
        <v>1725</v>
      </c>
      <c r="I278" s="21">
        <f>I279</f>
        <v>1224</v>
      </c>
      <c r="J278" s="201">
        <f t="shared" si="35"/>
        <v>70.956521739130423</v>
      </c>
    </row>
    <row r="279" spans="2:10" x14ac:dyDescent="0.2">
      <c r="B279" s="29">
        <f t="shared" si="31"/>
        <v>272</v>
      </c>
      <c r="C279" s="3"/>
      <c r="D279" s="3">
        <v>292</v>
      </c>
      <c r="E279" s="3"/>
      <c r="F279" s="3"/>
      <c r="G279" s="3" t="s">
        <v>175</v>
      </c>
      <c r="H279" s="22">
        <f>H280+H281</f>
        <v>1725</v>
      </c>
      <c r="I279" s="22">
        <f>I280+I281</f>
        <v>1224</v>
      </c>
      <c r="J279" s="201">
        <f t="shared" si="35"/>
        <v>70.956521739130423</v>
      </c>
    </row>
    <row r="280" spans="2:10" x14ac:dyDescent="0.2">
      <c r="B280" s="29">
        <f t="shared" si="31"/>
        <v>273</v>
      </c>
      <c r="C280" s="4"/>
      <c r="D280" s="4"/>
      <c r="E280" s="4">
        <v>292012</v>
      </c>
      <c r="F280" s="4"/>
      <c r="G280" s="4" t="s">
        <v>7</v>
      </c>
      <c r="H280" s="23">
        <v>700</v>
      </c>
      <c r="I280" s="23">
        <v>0</v>
      </c>
      <c r="J280" s="201">
        <f t="shared" si="35"/>
        <v>0</v>
      </c>
    </row>
    <row r="281" spans="2:10" ht="13.5" thickBot="1" x14ac:dyDescent="0.25">
      <c r="B281" s="29">
        <f t="shared" si="31"/>
        <v>274</v>
      </c>
      <c r="C281" s="4"/>
      <c r="D281" s="4"/>
      <c r="E281" s="4">
        <v>292017</v>
      </c>
      <c r="F281" s="4"/>
      <c r="G281" s="4" t="s">
        <v>532</v>
      </c>
      <c r="H281" s="23">
        <v>1025</v>
      </c>
      <c r="I281" s="23">
        <v>1224</v>
      </c>
      <c r="J281" s="201">
        <f t="shared" si="35"/>
        <v>119.41463414634146</v>
      </c>
    </row>
    <row r="282" spans="2:10" ht="15.75" thickBot="1" x14ac:dyDescent="0.3">
      <c r="B282" s="29">
        <f t="shared" si="31"/>
        <v>275</v>
      </c>
      <c r="C282" s="14">
        <v>9</v>
      </c>
      <c r="D282" s="14"/>
      <c r="E282" s="14"/>
      <c r="F282" s="14"/>
      <c r="G282" s="14" t="s">
        <v>273</v>
      </c>
      <c r="H282" s="20">
        <f>H295+H292+H286+H283</f>
        <v>19481</v>
      </c>
      <c r="I282" s="20">
        <f>I283+I286+I292+I295</f>
        <v>21173</v>
      </c>
      <c r="J282" s="201">
        <f t="shared" si="35"/>
        <v>108.68538576048456</v>
      </c>
    </row>
    <row r="283" spans="2:10" x14ac:dyDescent="0.2">
      <c r="B283" s="29">
        <f t="shared" si="31"/>
        <v>276</v>
      </c>
      <c r="C283" s="8">
        <v>210</v>
      </c>
      <c r="D283" s="8"/>
      <c r="E283" s="8"/>
      <c r="F283" s="8"/>
      <c r="G283" s="8" t="s">
        <v>21</v>
      </c>
      <c r="H283" s="21">
        <f>H284</f>
        <v>3075</v>
      </c>
      <c r="I283" s="21">
        <f>I284</f>
        <v>3003</v>
      </c>
      <c r="J283" s="201">
        <f t="shared" si="35"/>
        <v>97.658536585365852</v>
      </c>
    </row>
    <row r="284" spans="2:10" x14ac:dyDescent="0.2">
      <c r="B284" s="29">
        <f t="shared" si="31"/>
        <v>277</v>
      </c>
      <c r="C284" s="3"/>
      <c r="D284" s="3">
        <v>212</v>
      </c>
      <c r="E284" s="3"/>
      <c r="F284" s="3"/>
      <c r="G284" s="3" t="s">
        <v>22</v>
      </c>
      <c r="H284" s="22">
        <f>H285</f>
        <v>3075</v>
      </c>
      <c r="I284" s="22">
        <f>I285</f>
        <v>3003</v>
      </c>
      <c r="J284" s="201">
        <f t="shared" si="35"/>
        <v>97.658536585365852</v>
      </c>
    </row>
    <row r="285" spans="2:10" x14ac:dyDescent="0.2">
      <c r="B285" s="29">
        <f t="shared" si="31"/>
        <v>278</v>
      </c>
      <c r="C285" s="4"/>
      <c r="D285" s="4"/>
      <c r="E285" s="4">
        <v>212003</v>
      </c>
      <c r="F285" s="4"/>
      <c r="G285" s="4" t="s">
        <v>23</v>
      </c>
      <c r="H285" s="23">
        <f>2705+370</f>
        <v>3075</v>
      </c>
      <c r="I285" s="23">
        <v>3003</v>
      </c>
      <c r="J285" s="201">
        <f t="shared" si="35"/>
        <v>97.658536585365852</v>
      </c>
    </row>
    <row r="286" spans="2:10" x14ac:dyDescent="0.2">
      <c r="B286" s="29">
        <f t="shared" si="31"/>
        <v>279</v>
      </c>
      <c r="C286" s="8">
        <v>220</v>
      </c>
      <c r="D286" s="8"/>
      <c r="E286" s="8"/>
      <c r="F286" s="8"/>
      <c r="G286" s="8" t="s">
        <v>223</v>
      </c>
      <c r="H286" s="21">
        <f>H287</f>
        <v>15701</v>
      </c>
      <c r="I286" s="21">
        <f>I287</f>
        <v>17187</v>
      </c>
      <c r="J286" s="201">
        <f t="shared" si="35"/>
        <v>109.46436532704924</v>
      </c>
    </row>
    <row r="287" spans="2:10" x14ac:dyDescent="0.2">
      <c r="B287" s="29">
        <f t="shared" si="31"/>
        <v>280</v>
      </c>
      <c r="C287" s="3"/>
      <c r="D287" s="3">
        <v>223</v>
      </c>
      <c r="E287" s="3"/>
      <c r="F287" s="3"/>
      <c r="G287" s="3" t="s">
        <v>25</v>
      </c>
      <c r="H287" s="22">
        <f>H291+H290+H289+H288</f>
        <v>15701</v>
      </c>
      <c r="I287" s="22">
        <f>I291+I290+I289+I288</f>
        <v>17187</v>
      </c>
      <c r="J287" s="201">
        <f t="shared" si="35"/>
        <v>109.46436532704924</v>
      </c>
    </row>
    <row r="288" spans="2:10" x14ac:dyDescent="0.2">
      <c r="B288" s="29">
        <f t="shared" ref="B288:B291" si="36">B287+1</f>
        <v>281</v>
      </c>
      <c r="C288" s="3"/>
      <c r="D288" s="3"/>
      <c r="E288" s="4">
        <v>223001</v>
      </c>
      <c r="F288" s="3"/>
      <c r="G288" s="4" t="s">
        <v>274</v>
      </c>
      <c r="H288" s="23">
        <f>4000+1800</f>
        <v>5800</v>
      </c>
      <c r="I288" s="23">
        <v>4849</v>
      </c>
      <c r="J288" s="201">
        <f t="shared" si="35"/>
        <v>83.603448275862064</v>
      </c>
    </row>
    <row r="289" spans="2:10" x14ac:dyDescent="0.2">
      <c r="B289" s="29">
        <f t="shared" si="36"/>
        <v>282</v>
      </c>
      <c r="C289" s="3"/>
      <c r="D289" s="3"/>
      <c r="E289" s="4">
        <v>223001</v>
      </c>
      <c r="F289" s="3"/>
      <c r="G289" s="4" t="s">
        <v>275</v>
      </c>
      <c r="H289" s="23">
        <v>1000</v>
      </c>
      <c r="I289" s="23">
        <v>1815</v>
      </c>
      <c r="J289" s="201">
        <f t="shared" si="35"/>
        <v>181.5</v>
      </c>
    </row>
    <row r="290" spans="2:10" x14ac:dyDescent="0.2">
      <c r="B290" s="29">
        <f t="shared" si="36"/>
        <v>283</v>
      </c>
      <c r="C290" s="3"/>
      <c r="D290" s="3"/>
      <c r="E290" s="4">
        <v>223001</v>
      </c>
      <c r="F290" s="3"/>
      <c r="G290" s="4" t="s">
        <v>230</v>
      </c>
      <c r="H290" s="23">
        <v>1000</v>
      </c>
      <c r="I290" s="23">
        <v>1736</v>
      </c>
      <c r="J290" s="201">
        <f t="shared" si="35"/>
        <v>173.6</v>
      </c>
    </row>
    <row r="291" spans="2:10" x14ac:dyDescent="0.2">
      <c r="B291" s="29">
        <f t="shared" si="36"/>
        <v>284</v>
      </c>
      <c r="C291" s="4"/>
      <c r="D291" s="4"/>
      <c r="E291" s="4">
        <v>223002</v>
      </c>
      <c r="F291" s="4"/>
      <c r="G291" s="4" t="s">
        <v>67</v>
      </c>
      <c r="H291" s="23">
        <f>6500+1401</f>
        <v>7901</v>
      </c>
      <c r="I291" s="23">
        <v>8787</v>
      </c>
      <c r="J291" s="201">
        <f t="shared" si="35"/>
        <v>111.21377040880903</v>
      </c>
    </row>
    <row r="292" spans="2:10" x14ac:dyDescent="0.2">
      <c r="B292" s="29">
        <f t="shared" ref="B292:B353" si="37">B291+1</f>
        <v>285</v>
      </c>
      <c r="C292" s="8">
        <v>240</v>
      </c>
      <c r="D292" s="8"/>
      <c r="E292" s="8"/>
      <c r="F292" s="8"/>
      <c r="G292" s="8" t="s">
        <v>173</v>
      </c>
      <c r="H292" s="21">
        <f>H293</f>
        <v>5</v>
      </c>
      <c r="I292" s="21">
        <f>I293</f>
        <v>1</v>
      </c>
      <c r="J292" s="201">
        <f t="shared" si="35"/>
        <v>20</v>
      </c>
    </row>
    <row r="293" spans="2:10" x14ac:dyDescent="0.2">
      <c r="B293" s="29">
        <f t="shared" si="37"/>
        <v>286</v>
      </c>
      <c r="C293" s="3"/>
      <c r="D293" s="3">
        <v>242</v>
      </c>
      <c r="E293" s="3"/>
      <c r="F293" s="3"/>
      <c r="G293" s="3" t="s">
        <v>172</v>
      </c>
      <c r="H293" s="22">
        <f>H294</f>
        <v>5</v>
      </c>
      <c r="I293" s="22">
        <f>I294</f>
        <v>1</v>
      </c>
      <c r="J293" s="201">
        <f t="shared" si="35"/>
        <v>20</v>
      </c>
    </row>
    <row r="294" spans="2:10" x14ac:dyDescent="0.2">
      <c r="B294" s="29">
        <f t="shared" si="37"/>
        <v>287</v>
      </c>
      <c r="C294" s="4"/>
      <c r="D294" s="4"/>
      <c r="E294" s="4">
        <v>242</v>
      </c>
      <c r="F294" s="4"/>
      <c r="G294" s="4" t="s">
        <v>172</v>
      </c>
      <c r="H294" s="23">
        <v>5</v>
      </c>
      <c r="I294" s="23">
        <v>1</v>
      </c>
      <c r="J294" s="201">
        <f t="shared" si="35"/>
        <v>20</v>
      </c>
    </row>
    <row r="295" spans="2:10" x14ac:dyDescent="0.2">
      <c r="B295" s="29">
        <f t="shared" si="37"/>
        <v>288</v>
      </c>
      <c r="C295" s="8">
        <v>290</v>
      </c>
      <c r="D295" s="8"/>
      <c r="E295" s="8"/>
      <c r="F295" s="8"/>
      <c r="G295" s="8" t="s">
        <v>174</v>
      </c>
      <c r="H295" s="21">
        <f>H296</f>
        <v>700</v>
      </c>
      <c r="I295" s="21">
        <f>I296</f>
        <v>982</v>
      </c>
      <c r="J295" s="201">
        <f t="shared" si="35"/>
        <v>140.28571428571428</v>
      </c>
    </row>
    <row r="296" spans="2:10" x14ac:dyDescent="0.2">
      <c r="B296" s="29">
        <f t="shared" si="37"/>
        <v>289</v>
      </c>
      <c r="C296" s="3"/>
      <c r="D296" s="3">
        <v>292</v>
      </c>
      <c r="E296" s="3"/>
      <c r="F296" s="3"/>
      <c r="G296" s="3" t="s">
        <v>175</v>
      </c>
      <c r="H296" s="22">
        <f>H297</f>
        <v>700</v>
      </c>
      <c r="I296" s="22">
        <f>I297</f>
        <v>982</v>
      </c>
      <c r="J296" s="201">
        <f t="shared" si="35"/>
        <v>140.28571428571428</v>
      </c>
    </row>
    <row r="297" spans="2:10" ht="13.5" thickBot="1" x14ac:dyDescent="0.25">
      <c r="B297" s="29">
        <f t="shared" si="37"/>
        <v>290</v>
      </c>
      <c r="C297" s="4"/>
      <c r="D297" s="4"/>
      <c r="E297" s="4">
        <v>292012</v>
      </c>
      <c r="F297" s="4"/>
      <c r="G297" s="4" t="s">
        <v>7</v>
      </c>
      <c r="H297" s="23">
        <v>700</v>
      </c>
      <c r="I297" s="23">
        <v>982</v>
      </c>
      <c r="J297" s="201">
        <f t="shared" si="35"/>
        <v>140.28571428571428</v>
      </c>
    </row>
    <row r="298" spans="2:10" ht="15.75" thickBot="1" x14ac:dyDescent="0.3">
      <c r="B298" s="29">
        <f t="shared" si="37"/>
        <v>291</v>
      </c>
      <c r="C298" s="14">
        <v>10</v>
      </c>
      <c r="D298" s="14"/>
      <c r="E298" s="14"/>
      <c r="F298" s="14"/>
      <c r="G298" s="14" t="s">
        <v>255</v>
      </c>
      <c r="H298" s="20">
        <f>H309+H306+H302+H299</f>
        <v>36620</v>
      </c>
      <c r="I298" s="20">
        <f>I299+I302+I306+I309</f>
        <v>42464</v>
      </c>
      <c r="J298" s="201">
        <f t="shared" si="35"/>
        <v>115.95849262697979</v>
      </c>
    </row>
    <row r="299" spans="2:10" x14ac:dyDescent="0.2">
      <c r="B299" s="29">
        <f t="shared" si="37"/>
        <v>292</v>
      </c>
      <c r="C299" s="8">
        <v>210</v>
      </c>
      <c r="D299" s="8"/>
      <c r="E299" s="8"/>
      <c r="F299" s="8"/>
      <c r="G299" s="8" t="s">
        <v>21</v>
      </c>
      <c r="H299" s="21">
        <f>H300</f>
        <v>9145</v>
      </c>
      <c r="I299" s="21">
        <f>I300</f>
        <v>9145</v>
      </c>
      <c r="J299" s="201">
        <f t="shared" si="35"/>
        <v>100</v>
      </c>
    </row>
    <row r="300" spans="2:10" x14ac:dyDescent="0.2">
      <c r="B300" s="29">
        <f t="shared" si="37"/>
        <v>293</v>
      </c>
      <c r="C300" s="3"/>
      <c r="D300" s="3">
        <v>212</v>
      </c>
      <c r="E300" s="3"/>
      <c r="F300" s="3"/>
      <c r="G300" s="3" t="s">
        <v>22</v>
      </c>
      <c r="H300" s="22">
        <f>H301</f>
        <v>9145</v>
      </c>
      <c r="I300" s="22">
        <f>I301</f>
        <v>9145</v>
      </c>
      <c r="J300" s="201">
        <f t="shared" si="35"/>
        <v>100</v>
      </c>
    </row>
    <row r="301" spans="2:10" x14ac:dyDescent="0.2">
      <c r="B301" s="29">
        <f t="shared" si="37"/>
        <v>294</v>
      </c>
      <c r="C301" s="4"/>
      <c r="D301" s="4"/>
      <c r="E301" s="4">
        <v>212003</v>
      </c>
      <c r="F301" s="4"/>
      <c r="G301" s="4" t="s">
        <v>23</v>
      </c>
      <c r="H301" s="23">
        <f>5000+4145</f>
        <v>9145</v>
      </c>
      <c r="I301" s="23">
        <v>9145</v>
      </c>
      <c r="J301" s="201">
        <f t="shared" si="35"/>
        <v>100</v>
      </c>
    </row>
    <row r="302" spans="2:10" x14ac:dyDescent="0.2">
      <c r="B302" s="29">
        <f t="shared" si="37"/>
        <v>295</v>
      </c>
      <c r="C302" s="8">
        <v>220</v>
      </c>
      <c r="D302" s="8"/>
      <c r="E302" s="8"/>
      <c r="F302" s="8"/>
      <c r="G302" s="8" t="s">
        <v>223</v>
      </c>
      <c r="H302" s="21">
        <f>H303</f>
        <v>26299</v>
      </c>
      <c r="I302" s="21">
        <f>I303</f>
        <v>30214</v>
      </c>
      <c r="J302" s="201">
        <f t="shared" si="35"/>
        <v>114.88649758545952</v>
      </c>
    </row>
    <row r="303" spans="2:10" x14ac:dyDescent="0.2">
      <c r="B303" s="29">
        <f t="shared" si="37"/>
        <v>296</v>
      </c>
      <c r="C303" s="3"/>
      <c r="D303" s="3">
        <v>223</v>
      </c>
      <c r="E303" s="3"/>
      <c r="F303" s="3"/>
      <c r="G303" s="3" t="s">
        <v>25</v>
      </c>
      <c r="H303" s="22">
        <f>H305+H304</f>
        <v>26299</v>
      </c>
      <c r="I303" s="22">
        <f>I305+I304</f>
        <v>30214</v>
      </c>
      <c r="J303" s="201">
        <f t="shared" si="35"/>
        <v>114.88649758545952</v>
      </c>
    </row>
    <row r="304" spans="2:10" x14ac:dyDescent="0.2">
      <c r="B304" s="29">
        <f t="shared" si="37"/>
        <v>297</v>
      </c>
      <c r="C304" s="3"/>
      <c r="D304" s="3"/>
      <c r="E304" s="4">
        <v>223001</v>
      </c>
      <c r="F304" s="4"/>
      <c r="G304" s="4" t="s">
        <v>774</v>
      </c>
      <c r="H304" s="23">
        <f>11000+9383</f>
        <v>20383</v>
      </c>
      <c r="I304" s="23">
        <f>20574+3665</f>
        <v>24239</v>
      </c>
      <c r="J304" s="201">
        <f t="shared" si="35"/>
        <v>118.91772555561006</v>
      </c>
    </row>
    <row r="305" spans="2:10" x14ac:dyDescent="0.2">
      <c r="B305" s="29">
        <f t="shared" si="37"/>
        <v>298</v>
      </c>
      <c r="C305" s="4"/>
      <c r="D305" s="4"/>
      <c r="E305" s="4">
        <v>223002</v>
      </c>
      <c r="F305" s="4"/>
      <c r="G305" s="4" t="s">
        <v>67</v>
      </c>
      <c r="H305" s="23">
        <f>4565+1351</f>
        <v>5916</v>
      </c>
      <c r="I305" s="23">
        <v>5975</v>
      </c>
      <c r="J305" s="201">
        <f t="shared" si="35"/>
        <v>100.9972954699121</v>
      </c>
    </row>
    <row r="306" spans="2:10" x14ac:dyDescent="0.2">
      <c r="B306" s="29">
        <f t="shared" si="37"/>
        <v>299</v>
      </c>
      <c r="C306" s="8">
        <v>240</v>
      </c>
      <c r="D306" s="8"/>
      <c r="E306" s="8"/>
      <c r="F306" s="8"/>
      <c r="G306" s="8" t="s">
        <v>173</v>
      </c>
      <c r="H306" s="21">
        <f>H307</f>
        <v>5</v>
      </c>
      <c r="I306" s="21">
        <f>I307</f>
        <v>3</v>
      </c>
      <c r="J306" s="201">
        <f t="shared" si="35"/>
        <v>60</v>
      </c>
    </row>
    <row r="307" spans="2:10" x14ac:dyDescent="0.2">
      <c r="B307" s="29">
        <f t="shared" si="37"/>
        <v>300</v>
      </c>
      <c r="C307" s="3"/>
      <c r="D307" s="3">
        <v>242</v>
      </c>
      <c r="E307" s="3"/>
      <c r="F307" s="3"/>
      <c r="G307" s="3" t="s">
        <v>172</v>
      </c>
      <c r="H307" s="22">
        <f>H308</f>
        <v>5</v>
      </c>
      <c r="I307" s="22">
        <f>I308</f>
        <v>3</v>
      </c>
      <c r="J307" s="201">
        <f t="shared" si="35"/>
        <v>60</v>
      </c>
    </row>
    <row r="308" spans="2:10" x14ac:dyDescent="0.2">
      <c r="B308" s="29">
        <f t="shared" si="37"/>
        <v>301</v>
      </c>
      <c r="C308" s="4"/>
      <c r="D308" s="4"/>
      <c r="E308" s="4">
        <v>242</v>
      </c>
      <c r="F308" s="4"/>
      <c r="G308" s="4" t="s">
        <v>172</v>
      </c>
      <c r="H308" s="23">
        <v>5</v>
      </c>
      <c r="I308" s="23">
        <v>3</v>
      </c>
      <c r="J308" s="201">
        <f t="shared" si="35"/>
        <v>60</v>
      </c>
    </row>
    <row r="309" spans="2:10" x14ac:dyDescent="0.2">
      <c r="B309" s="29">
        <f t="shared" si="37"/>
        <v>302</v>
      </c>
      <c r="C309" s="8">
        <v>290</v>
      </c>
      <c r="D309" s="8"/>
      <c r="E309" s="8"/>
      <c r="F309" s="8"/>
      <c r="G309" s="8" t="s">
        <v>174</v>
      </c>
      <c r="H309" s="21">
        <f>H310</f>
        <v>1171</v>
      </c>
      <c r="I309" s="21">
        <f>I310</f>
        <v>3102</v>
      </c>
      <c r="J309" s="201">
        <f t="shared" si="35"/>
        <v>264.90179333902648</v>
      </c>
    </row>
    <row r="310" spans="2:10" x14ac:dyDescent="0.2">
      <c r="B310" s="29">
        <f t="shared" si="37"/>
        <v>303</v>
      </c>
      <c r="C310" s="3"/>
      <c r="D310" s="3">
        <v>292</v>
      </c>
      <c r="E310" s="3"/>
      <c r="F310" s="3"/>
      <c r="G310" s="3" t="s">
        <v>175</v>
      </c>
      <c r="H310" s="22">
        <f>H311+H312</f>
        <v>1171</v>
      </c>
      <c r="I310" s="22">
        <f>I311+I312</f>
        <v>3102</v>
      </c>
      <c r="J310" s="201">
        <f t="shared" si="35"/>
        <v>264.90179333902648</v>
      </c>
    </row>
    <row r="311" spans="2:10" x14ac:dyDescent="0.2">
      <c r="B311" s="29">
        <f t="shared" si="37"/>
        <v>304</v>
      </c>
      <c r="C311" s="4"/>
      <c r="D311" s="4"/>
      <c r="E311" s="4">
        <v>292012</v>
      </c>
      <c r="F311" s="4"/>
      <c r="G311" s="4" t="s">
        <v>7</v>
      </c>
      <c r="H311" s="23">
        <v>500</v>
      </c>
      <c r="I311" s="23">
        <v>2431</v>
      </c>
      <c r="J311" s="201">
        <f t="shared" si="35"/>
        <v>486.2</v>
      </c>
    </row>
    <row r="312" spans="2:10" ht="13.5" thickBot="1" x14ac:dyDescent="0.25">
      <c r="B312" s="29">
        <f t="shared" si="37"/>
        <v>305</v>
      </c>
      <c r="C312" s="4"/>
      <c r="D312" s="4"/>
      <c r="E312" s="4">
        <v>292017</v>
      </c>
      <c r="F312" s="4"/>
      <c r="G312" s="4" t="s">
        <v>532</v>
      </c>
      <c r="H312" s="23">
        <v>671</v>
      </c>
      <c r="I312" s="23">
        <v>671</v>
      </c>
      <c r="J312" s="201">
        <f t="shared" si="35"/>
        <v>100</v>
      </c>
    </row>
    <row r="313" spans="2:10" ht="15.75" thickBot="1" x14ac:dyDescent="0.3">
      <c r="B313" s="29">
        <f t="shared" si="37"/>
        <v>306</v>
      </c>
      <c r="C313" s="14">
        <v>11</v>
      </c>
      <c r="D313" s="14"/>
      <c r="E313" s="14"/>
      <c r="F313" s="14"/>
      <c r="G313" s="14" t="s">
        <v>272</v>
      </c>
      <c r="H313" s="20">
        <f>H324+H321+H317+H314</f>
        <v>76461</v>
      </c>
      <c r="I313" s="20">
        <v>76951</v>
      </c>
      <c r="J313" s="201">
        <f t="shared" si="35"/>
        <v>100.64084958344776</v>
      </c>
    </row>
    <row r="314" spans="2:10" x14ac:dyDescent="0.2">
      <c r="B314" s="29">
        <f t="shared" si="37"/>
        <v>307</v>
      </c>
      <c r="C314" s="8">
        <v>210</v>
      </c>
      <c r="D314" s="8"/>
      <c r="E314" s="8"/>
      <c r="F314" s="8"/>
      <c r="G314" s="8" t="s">
        <v>21</v>
      </c>
      <c r="H314" s="21">
        <f>H315</f>
        <v>40900</v>
      </c>
      <c r="I314" s="21">
        <f>I315</f>
        <v>41527</v>
      </c>
      <c r="J314" s="201">
        <f t="shared" si="35"/>
        <v>101.53300733496333</v>
      </c>
    </row>
    <row r="315" spans="2:10" x14ac:dyDescent="0.2">
      <c r="B315" s="29">
        <f t="shared" si="37"/>
        <v>308</v>
      </c>
      <c r="C315" s="3"/>
      <c r="D315" s="3">
        <v>212</v>
      </c>
      <c r="E315" s="3"/>
      <c r="F315" s="3"/>
      <c r="G315" s="3" t="s">
        <v>22</v>
      </c>
      <c r="H315" s="22">
        <f>H316</f>
        <v>40900</v>
      </c>
      <c r="I315" s="22">
        <f>I316</f>
        <v>41527</v>
      </c>
      <c r="J315" s="201">
        <f t="shared" si="35"/>
        <v>101.53300733496333</v>
      </c>
    </row>
    <row r="316" spans="2:10" x14ac:dyDescent="0.2">
      <c r="B316" s="29">
        <f t="shared" si="37"/>
        <v>309</v>
      </c>
      <c r="C316" s="4"/>
      <c r="D316" s="4"/>
      <c r="E316" s="4">
        <v>212003</v>
      </c>
      <c r="F316" s="4"/>
      <c r="G316" s="4" t="s">
        <v>23</v>
      </c>
      <c r="H316" s="23">
        <f>37000+3900</f>
        <v>40900</v>
      </c>
      <c r="I316" s="23">
        <v>41527</v>
      </c>
      <c r="J316" s="201">
        <f t="shared" si="35"/>
        <v>101.53300733496333</v>
      </c>
    </row>
    <row r="317" spans="2:10" x14ac:dyDescent="0.2">
      <c r="B317" s="29">
        <f t="shared" si="37"/>
        <v>310</v>
      </c>
      <c r="C317" s="8">
        <v>220</v>
      </c>
      <c r="D317" s="8"/>
      <c r="E317" s="8"/>
      <c r="F317" s="8"/>
      <c r="G317" s="8" t="s">
        <v>223</v>
      </c>
      <c r="H317" s="21">
        <f>H318</f>
        <v>33550</v>
      </c>
      <c r="I317" s="21">
        <f>I318</f>
        <v>31549</v>
      </c>
      <c r="J317" s="201">
        <f t="shared" si="35"/>
        <v>94.035767511177355</v>
      </c>
    </row>
    <row r="318" spans="2:10" x14ac:dyDescent="0.2">
      <c r="B318" s="29">
        <f t="shared" si="37"/>
        <v>311</v>
      </c>
      <c r="C318" s="3"/>
      <c r="D318" s="3">
        <v>223</v>
      </c>
      <c r="E318" s="3"/>
      <c r="F318" s="3"/>
      <c r="G318" s="3" t="s">
        <v>25</v>
      </c>
      <c r="H318" s="22">
        <f>H320+H319</f>
        <v>33550</v>
      </c>
      <c r="I318" s="22">
        <f>I320+I319</f>
        <v>31549</v>
      </c>
      <c r="J318" s="201">
        <f t="shared" si="35"/>
        <v>94.035767511177355</v>
      </c>
    </row>
    <row r="319" spans="2:10" x14ac:dyDescent="0.2">
      <c r="B319" s="29">
        <f t="shared" si="37"/>
        <v>312</v>
      </c>
      <c r="C319" s="3"/>
      <c r="D319" s="3"/>
      <c r="E319" s="4">
        <v>223001</v>
      </c>
      <c r="F319" s="4"/>
      <c r="G319" s="4" t="s">
        <v>635</v>
      </c>
      <c r="H319" s="23">
        <f>12000+5345</f>
        <v>17345</v>
      </c>
      <c r="I319" s="23">
        <v>18530</v>
      </c>
      <c r="J319" s="201">
        <f t="shared" si="35"/>
        <v>106.83194004035745</v>
      </c>
    </row>
    <row r="320" spans="2:10" x14ac:dyDescent="0.2">
      <c r="B320" s="29">
        <f t="shared" si="37"/>
        <v>313</v>
      </c>
      <c r="C320" s="4"/>
      <c r="D320" s="4"/>
      <c r="E320" s="4">
        <v>223002</v>
      </c>
      <c r="F320" s="4"/>
      <c r="G320" s="4" t="s">
        <v>67</v>
      </c>
      <c r="H320" s="23">
        <f>10305+5900</f>
        <v>16205</v>
      </c>
      <c r="I320" s="23">
        <v>13019</v>
      </c>
      <c r="J320" s="201">
        <f t="shared" si="35"/>
        <v>80.339401419315024</v>
      </c>
    </row>
    <row r="321" spans="2:10" x14ac:dyDescent="0.2">
      <c r="B321" s="29">
        <f t="shared" si="37"/>
        <v>314</v>
      </c>
      <c r="C321" s="8">
        <v>240</v>
      </c>
      <c r="D321" s="8"/>
      <c r="E321" s="8"/>
      <c r="F321" s="8"/>
      <c r="G321" s="8" t="s">
        <v>173</v>
      </c>
      <c r="H321" s="21">
        <f>H322</f>
        <v>5</v>
      </c>
      <c r="I321" s="21">
        <f>I322</f>
        <v>3</v>
      </c>
      <c r="J321" s="201">
        <f t="shared" si="35"/>
        <v>60</v>
      </c>
    </row>
    <row r="322" spans="2:10" x14ac:dyDescent="0.2">
      <c r="B322" s="29">
        <f t="shared" si="37"/>
        <v>315</v>
      </c>
      <c r="C322" s="3"/>
      <c r="D322" s="3">
        <v>242</v>
      </c>
      <c r="E322" s="3"/>
      <c r="F322" s="3"/>
      <c r="G322" s="3" t="s">
        <v>172</v>
      </c>
      <c r="H322" s="22">
        <f>H323</f>
        <v>5</v>
      </c>
      <c r="I322" s="22">
        <f>I323</f>
        <v>3</v>
      </c>
      <c r="J322" s="201">
        <f t="shared" si="35"/>
        <v>60</v>
      </c>
    </row>
    <row r="323" spans="2:10" x14ac:dyDescent="0.2">
      <c r="B323" s="29">
        <f t="shared" si="37"/>
        <v>316</v>
      </c>
      <c r="C323" s="4"/>
      <c r="D323" s="4"/>
      <c r="E323" s="4">
        <v>242</v>
      </c>
      <c r="F323" s="4"/>
      <c r="G323" s="4" t="s">
        <v>172</v>
      </c>
      <c r="H323" s="23">
        <v>5</v>
      </c>
      <c r="I323" s="23">
        <v>3</v>
      </c>
      <c r="J323" s="201">
        <f t="shared" si="35"/>
        <v>60</v>
      </c>
    </row>
    <row r="324" spans="2:10" x14ac:dyDescent="0.2">
      <c r="B324" s="29">
        <f t="shared" si="37"/>
        <v>317</v>
      </c>
      <c r="C324" s="8">
        <v>290</v>
      </c>
      <c r="D324" s="8"/>
      <c r="E324" s="8"/>
      <c r="F324" s="8"/>
      <c r="G324" s="8" t="s">
        <v>174</v>
      </c>
      <c r="H324" s="21">
        <f>H325</f>
        <v>2006</v>
      </c>
      <c r="I324" s="21">
        <f>I325</f>
        <v>3872</v>
      </c>
      <c r="J324" s="201">
        <f t="shared" ref="J324:J388" si="38">I324/H324*100</f>
        <v>193.02093718843469</v>
      </c>
    </row>
    <row r="325" spans="2:10" x14ac:dyDescent="0.2">
      <c r="B325" s="29">
        <f t="shared" si="37"/>
        <v>318</v>
      </c>
      <c r="C325" s="3"/>
      <c r="D325" s="3">
        <v>292</v>
      </c>
      <c r="E325" s="3"/>
      <c r="F325" s="3"/>
      <c r="G325" s="3" t="s">
        <v>175</v>
      </c>
      <c r="H325" s="22">
        <f>H326+H327</f>
        <v>2006</v>
      </c>
      <c r="I325" s="22">
        <f>I326+I327</f>
        <v>3872</v>
      </c>
      <c r="J325" s="201">
        <f t="shared" si="38"/>
        <v>193.02093718843469</v>
      </c>
    </row>
    <row r="326" spans="2:10" x14ac:dyDescent="0.2">
      <c r="B326" s="29">
        <f t="shared" si="37"/>
        <v>319</v>
      </c>
      <c r="C326" s="4"/>
      <c r="D326" s="4"/>
      <c r="E326" s="4">
        <v>292012</v>
      </c>
      <c r="F326" s="4"/>
      <c r="G326" s="4" t="s">
        <v>7</v>
      </c>
      <c r="H326" s="23">
        <v>300</v>
      </c>
      <c r="I326" s="23">
        <v>2166</v>
      </c>
      <c r="J326" s="201">
        <f t="shared" si="38"/>
        <v>722</v>
      </c>
    </row>
    <row r="327" spans="2:10" ht="13.5" thickBot="1" x14ac:dyDescent="0.25">
      <c r="B327" s="29">
        <f t="shared" si="37"/>
        <v>320</v>
      </c>
      <c r="C327" s="4"/>
      <c r="D327" s="4"/>
      <c r="E327" s="4">
        <v>292017</v>
      </c>
      <c r="F327" s="4"/>
      <c r="G327" s="4" t="s">
        <v>532</v>
      </c>
      <c r="H327" s="23">
        <v>1706</v>
      </c>
      <c r="I327" s="23">
        <v>1706</v>
      </c>
      <c r="J327" s="201">
        <f t="shared" si="38"/>
        <v>100</v>
      </c>
    </row>
    <row r="328" spans="2:10" ht="15.75" thickBot="1" x14ac:dyDescent="0.3">
      <c r="B328" s="29">
        <f t="shared" si="37"/>
        <v>321</v>
      </c>
      <c r="C328" s="14">
        <v>12</v>
      </c>
      <c r="D328" s="14"/>
      <c r="E328" s="14"/>
      <c r="F328" s="14"/>
      <c r="G328" s="14" t="s">
        <v>271</v>
      </c>
      <c r="H328" s="20">
        <f>H339+H336+H332+H329</f>
        <v>24366</v>
      </c>
      <c r="I328" s="20">
        <f>I329+I332+I336+I339</f>
        <v>27881</v>
      </c>
      <c r="J328" s="201">
        <f t="shared" si="38"/>
        <v>114.42583928424854</v>
      </c>
    </row>
    <row r="329" spans="2:10" x14ac:dyDescent="0.2">
      <c r="B329" s="29">
        <f t="shared" si="37"/>
        <v>322</v>
      </c>
      <c r="C329" s="8">
        <v>210</v>
      </c>
      <c r="D329" s="8"/>
      <c r="E329" s="8"/>
      <c r="F329" s="8"/>
      <c r="G329" s="8" t="s">
        <v>21</v>
      </c>
      <c r="H329" s="21">
        <f>H330</f>
        <v>6000</v>
      </c>
      <c r="I329" s="21">
        <f>I330</f>
        <v>5866</v>
      </c>
      <c r="J329" s="201">
        <f t="shared" si="38"/>
        <v>97.766666666666666</v>
      </c>
    </row>
    <row r="330" spans="2:10" x14ac:dyDescent="0.2">
      <c r="B330" s="29">
        <f t="shared" si="37"/>
        <v>323</v>
      </c>
      <c r="C330" s="3"/>
      <c r="D330" s="3">
        <v>212</v>
      </c>
      <c r="E330" s="3"/>
      <c r="F330" s="3"/>
      <c r="G330" s="3" t="s">
        <v>22</v>
      </c>
      <c r="H330" s="22">
        <f>H331</f>
        <v>6000</v>
      </c>
      <c r="I330" s="22">
        <f>I331</f>
        <v>5866</v>
      </c>
      <c r="J330" s="201">
        <f t="shared" si="38"/>
        <v>97.766666666666666</v>
      </c>
    </row>
    <row r="331" spans="2:10" x14ac:dyDescent="0.2">
      <c r="B331" s="29">
        <f t="shared" si="37"/>
        <v>324</v>
      </c>
      <c r="C331" s="4"/>
      <c r="D331" s="4"/>
      <c r="E331" s="4">
        <v>212003</v>
      </c>
      <c r="F331" s="4"/>
      <c r="G331" s="4" t="s">
        <v>23</v>
      </c>
      <c r="H331" s="23">
        <f>3000+3000</f>
        <v>6000</v>
      </c>
      <c r="I331" s="23">
        <v>5866</v>
      </c>
      <c r="J331" s="201">
        <f t="shared" si="38"/>
        <v>97.766666666666666</v>
      </c>
    </row>
    <row r="332" spans="2:10" x14ac:dyDescent="0.2">
      <c r="B332" s="29">
        <f t="shared" si="37"/>
        <v>325</v>
      </c>
      <c r="C332" s="8">
        <v>220</v>
      </c>
      <c r="D332" s="8"/>
      <c r="E332" s="8"/>
      <c r="F332" s="8"/>
      <c r="G332" s="8" t="s">
        <v>223</v>
      </c>
      <c r="H332" s="21">
        <f>H333</f>
        <v>16405</v>
      </c>
      <c r="I332" s="21">
        <f>I333</f>
        <v>20047</v>
      </c>
      <c r="J332" s="201">
        <f t="shared" si="38"/>
        <v>122.20054861322767</v>
      </c>
    </row>
    <row r="333" spans="2:10" x14ac:dyDescent="0.2">
      <c r="B333" s="29">
        <f t="shared" si="37"/>
        <v>326</v>
      </c>
      <c r="C333" s="3"/>
      <c r="D333" s="3">
        <v>223</v>
      </c>
      <c r="E333" s="3"/>
      <c r="F333" s="3"/>
      <c r="G333" s="3" t="s">
        <v>25</v>
      </c>
      <c r="H333" s="22">
        <f>H335+H334</f>
        <v>16405</v>
      </c>
      <c r="I333" s="22">
        <f>I335+I334</f>
        <v>20047</v>
      </c>
      <c r="J333" s="201">
        <f t="shared" si="38"/>
        <v>122.20054861322767</v>
      </c>
    </row>
    <row r="334" spans="2:10" x14ac:dyDescent="0.2">
      <c r="B334" s="29">
        <f t="shared" si="37"/>
        <v>327</v>
      </c>
      <c r="C334" s="3"/>
      <c r="D334" s="3"/>
      <c r="E334" s="4">
        <v>223001</v>
      </c>
      <c r="F334" s="4"/>
      <c r="G334" s="4" t="s">
        <v>229</v>
      </c>
      <c r="H334" s="23">
        <v>8200</v>
      </c>
      <c r="I334" s="23">
        <v>9237</v>
      </c>
      <c r="J334" s="201">
        <f t="shared" si="38"/>
        <v>112.64634146341463</v>
      </c>
    </row>
    <row r="335" spans="2:10" x14ac:dyDescent="0.2">
      <c r="B335" s="29">
        <f t="shared" si="37"/>
        <v>328</v>
      </c>
      <c r="C335" s="4"/>
      <c r="D335" s="4"/>
      <c r="E335" s="4">
        <v>223002</v>
      </c>
      <c r="F335" s="4"/>
      <c r="G335" s="4" t="s">
        <v>67</v>
      </c>
      <c r="H335" s="23">
        <v>8205</v>
      </c>
      <c r="I335" s="23">
        <v>10810</v>
      </c>
      <c r="J335" s="201">
        <f t="shared" si="38"/>
        <v>131.74893357708714</v>
      </c>
    </row>
    <row r="336" spans="2:10" x14ac:dyDescent="0.2">
      <c r="B336" s="29">
        <f t="shared" si="37"/>
        <v>329</v>
      </c>
      <c r="C336" s="8">
        <v>240</v>
      </c>
      <c r="D336" s="8"/>
      <c r="E336" s="8"/>
      <c r="F336" s="8"/>
      <c r="G336" s="8" t="s">
        <v>173</v>
      </c>
      <c r="H336" s="21">
        <f>H337</f>
        <v>5</v>
      </c>
      <c r="I336" s="21">
        <f>I337</f>
        <v>3</v>
      </c>
      <c r="J336" s="201">
        <f t="shared" si="38"/>
        <v>60</v>
      </c>
    </row>
    <row r="337" spans="2:10" x14ac:dyDescent="0.2">
      <c r="B337" s="29">
        <f t="shared" si="37"/>
        <v>330</v>
      </c>
      <c r="C337" s="3"/>
      <c r="D337" s="3">
        <v>242</v>
      </c>
      <c r="E337" s="3"/>
      <c r="F337" s="3"/>
      <c r="G337" s="3" t="s">
        <v>172</v>
      </c>
      <c r="H337" s="22">
        <f>H338</f>
        <v>5</v>
      </c>
      <c r="I337" s="22">
        <f>I338</f>
        <v>3</v>
      </c>
      <c r="J337" s="201">
        <f t="shared" si="38"/>
        <v>60</v>
      </c>
    </row>
    <row r="338" spans="2:10" x14ac:dyDescent="0.2">
      <c r="B338" s="29">
        <f t="shared" si="37"/>
        <v>331</v>
      </c>
      <c r="C338" s="4"/>
      <c r="D338" s="4"/>
      <c r="E338" s="4">
        <v>242</v>
      </c>
      <c r="F338" s="4"/>
      <c r="G338" s="4" t="s">
        <v>172</v>
      </c>
      <c r="H338" s="23">
        <v>5</v>
      </c>
      <c r="I338" s="23">
        <v>3</v>
      </c>
      <c r="J338" s="201">
        <f t="shared" si="38"/>
        <v>60</v>
      </c>
    </row>
    <row r="339" spans="2:10" x14ac:dyDescent="0.2">
      <c r="B339" s="29">
        <f t="shared" si="37"/>
        <v>332</v>
      </c>
      <c r="C339" s="8">
        <v>290</v>
      </c>
      <c r="D339" s="8"/>
      <c r="E339" s="8"/>
      <c r="F339" s="8"/>
      <c r="G339" s="8" t="s">
        <v>174</v>
      </c>
      <c r="H339" s="21">
        <f>H340</f>
        <v>1956</v>
      </c>
      <c r="I339" s="21">
        <f>I340</f>
        <v>1965</v>
      </c>
      <c r="J339" s="201">
        <f t="shared" si="38"/>
        <v>100.46012269938652</v>
      </c>
    </row>
    <row r="340" spans="2:10" x14ac:dyDescent="0.2">
      <c r="B340" s="29">
        <f t="shared" si="37"/>
        <v>333</v>
      </c>
      <c r="C340" s="3"/>
      <c r="D340" s="3">
        <v>292</v>
      </c>
      <c r="E340" s="3"/>
      <c r="F340" s="3"/>
      <c r="G340" s="3" t="s">
        <v>175</v>
      </c>
      <c r="H340" s="22">
        <f>H341+H342</f>
        <v>1956</v>
      </c>
      <c r="I340" s="22">
        <f>I341+I342</f>
        <v>1965</v>
      </c>
      <c r="J340" s="201">
        <f t="shared" si="38"/>
        <v>100.46012269938652</v>
      </c>
    </row>
    <row r="341" spans="2:10" x14ac:dyDescent="0.2">
      <c r="B341" s="29">
        <f t="shared" si="37"/>
        <v>334</v>
      </c>
      <c r="C341" s="4"/>
      <c r="D341" s="4"/>
      <c r="E341" s="4">
        <v>292012</v>
      </c>
      <c r="F341" s="4"/>
      <c r="G341" s="4" t="s">
        <v>7</v>
      </c>
      <c r="H341" s="23">
        <v>500</v>
      </c>
      <c r="I341" s="23">
        <v>512</v>
      </c>
      <c r="J341" s="201">
        <f t="shared" si="38"/>
        <v>102.4</v>
      </c>
    </row>
    <row r="342" spans="2:10" ht="13.5" thickBot="1" x14ac:dyDescent="0.25">
      <c r="B342" s="29">
        <f t="shared" si="37"/>
        <v>335</v>
      </c>
      <c r="C342" s="4"/>
      <c r="D342" s="4"/>
      <c r="E342" s="4">
        <v>292017</v>
      </c>
      <c r="F342" s="4"/>
      <c r="G342" s="4" t="s">
        <v>532</v>
      </c>
      <c r="H342" s="23">
        <v>1456</v>
      </c>
      <c r="I342" s="23">
        <v>1453</v>
      </c>
      <c r="J342" s="201">
        <f t="shared" si="38"/>
        <v>99.793956043956044</v>
      </c>
    </row>
    <row r="343" spans="2:10" ht="15.75" thickBot="1" x14ac:dyDescent="0.3">
      <c r="B343" s="29">
        <f t="shared" si="37"/>
        <v>336</v>
      </c>
      <c r="C343" s="14">
        <v>13</v>
      </c>
      <c r="D343" s="14"/>
      <c r="E343" s="14"/>
      <c r="F343" s="14"/>
      <c r="G343" s="14" t="s">
        <v>254</v>
      </c>
      <c r="H343" s="20">
        <f>H354+H351+H347+H344</f>
        <v>19565</v>
      </c>
      <c r="I343" s="20">
        <f>I344+I347+I351+I354</f>
        <v>19489</v>
      </c>
      <c r="J343" s="201">
        <f t="shared" si="38"/>
        <v>99.611551239458223</v>
      </c>
    </row>
    <row r="344" spans="2:10" x14ac:dyDescent="0.2">
      <c r="B344" s="29">
        <f t="shared" si="37"/>
        <v>337</v>
      </c>
      <c r="C344" s="8">
        <v>210</v>
      </c>
      <c r="D344" s="8"/>
      <c r="E344" s="8"/>
      <c r="F344" s="8"/>
      <c r="G344" s="8" t="s">
        <v>21</v>
      </c>
      <c r="H344" s="21">
        <f>H345</f>
        <v>6555</v>
      </c>
      <c r="I344" s="21">
        <f>I345</f>
        <v>6555</v>
      </c>
      <c r="J344" s="201">
        <f t="shared" si="38"/>
        <v>100</v>
      </c>
    </row>
    <row r="345" spans="2:10" x14ac:dyDescent="0.2">
      <c r="B345" s="29">
        <f t="shared" si="37"/>
        <v>338</v>
      </c>
      <c r="C345" s="3"/>
      <c r="D345" s="3">
        <v>212</v>
      </c>
      <c r="E345" s="3"/>
      <c r="F345" s="3"/>
      <c r="G345" s="3" t="s">
        <v>22</v>
      </c>
      <c r="H345" s="22">
        <f>H346</f>
        <v>6555</v>
      </c>
      <c r="I345" s="22">
        <f>I346</f>
        <v>6555</v>
      </c>
      <c r="J345" s="201">
        <f t="shared" si="38"/>
        <v>100</v>
      </c>
    </row>
    <row r="346" spans="2:10" x14ac:dyDescent="0.2">
      <c r="B346" s="29">
        <f t="shared" si="37"/>
        <v>339</v>
      </c>
      <c r="C346" s="4"/>
      <c r="D346" s="4"/>
      <c r="E346" s="4">
        <v>212003</v>
      </c>
      <c r="F346" s="4"/>
      <c r="G346" s="4" t="s">
        <v>23</v>
      </c>
      <c r="H346" s="23">
        <f>6000+555</f>
        <v>6555</v>
      </c>
      <c r="I346" s="23">
        <v>6555</v>
      </c>
      <c r="J346" s="201">
        <f t="shared" si="38"/>
        <v>100</v>
      </c>
    </row>
    <row r="347" spans="2:10" x14ac:dyDescent="0.2">
      <c r="B347" s="29">
        <f t="shared" si="37"/>
        <v>340</v>
      </c>
      <c r="C347" s="8">
        <v>220</v>
      </c>
      <c r="D347" s="8"/>
      <c r="E347" s="8"/>
      <c r="F347" s="8"/>
      <c r="G347" s="8" t="s">
        <v>223</v>
      </c>
      <c r="H347" s="21">
        <f>H348</f>
        <v>12705</v>
      </c>
      <c r="I347" s="21">
        <f>I348</f>
        <v>12932</v>
      </c>
      <c r="J347" s="201">
        <f t="shared" si="38"/>
        <v>101.78669815033452</v>
      </c>
    </row>
    <row r="348" spans="2:10" x14ac:dyDescent="0.2">
      <c r="B348" s="29">
        <f t="shared" si="37"/>
        <v>341</v>
      </c>
      <c r="C348" s="3"/>
      <c r="D348" s="3">
        <v>223</v>
      </c>
      <c r="E348" s="3"/>
      <c r="F348" s="3"/>
      <c r="G348" s="3" t="s">
        <v>25</v>
      </c>
      <c r="H348" s="22">
        <f>H350+H349</f>
        <v>12705</v>
      </c>
      <c r="I348" s="22">
        <f>I350+I349</f>
        <v>12932</v>
      </c>
      <c r="J348" s="201">
        <f t="shared" si="38"/>
        <v>101.78669815033452</v>
      </c>
    </row>
    <row r="349" spans="2:10" x14ac:dyDescent="0.2">
      <c r="B349" s="29">
        <f t="shared" si="37"/>
        <v>342</v>
      </c>
      <c r="C349" s="3"/>
      <c r="D349" s="3"/>
      <c r="E349" s="4">
        <v>223001</v>
      </c>
      <c r="F349" s="4"/>
      <c r="G349" s="4" t="s">
        <v>229</v>
      </c>
      <c r="H349" s="23">
        <v>8300</v>
      </c>
      <c r="I349" s="23">
        <v>8516</v>
      </c>
      <c r="J349" s="201">
        <f t="shared" si="38"/>
        <v>102.60240963855422</v>
      </c>
    </row>
    <row r="350" spans="2:10" x14ac:dyDescent="0.2">
      <c r="B350" s="29">
        <f t="shared" si="37"/>
        <v>343</v>
      </c>
      <c r="C350" s="4"/>
      <c r="D350" s="4"/>
      <c r="E350" s="4">
        <v>223002</v>
      </c>
      <c r="F350" s="4"/>
      <c r="G350" s="4" t="s">
        <v>67</v>
      </c>
      <c r="H350" s="23">
        <v>4405</v>
      </c>
      <c r="I350" s="23">
        <v>4416</v>
      </c>
      <c r="J350" s="201">
        <f t="shared" si="38"/>
        <v>100.24971623155506</v>
      </c>
    </row>
    <row r="351" spans="2:10" x14ac:dyDescent="0.2">
      <c r="B351" s="29">
        <f t="shared" si="37"/>
        <v>344</v>
      </c>
      <c r="C351" s="8">
        <v>240</v>
      </c>
      <c r="D351" s="8"/>
      <c r="E351" s="8"/>
      <c r="F351" s="8"/>
      <c r="G351" s="8" t="s">
        <v>173</v>
      </c>
      <c r="H351" s="21">
        <f>H352</f>
        <v>5</v>
      </c>
      <c r="I351" s="21">
        <f>I352</f>
        <v>2</v>
      </c>
      <c r="J351" s="201">
        <f t="shared" si="38"/>
        <v>40</v>
      </c>
    </row>
    <row r="352" spans="2:10" x14ac:dyDescent="0.2">
      <c r="B352" s="29">
        <f t="shared" si="37"/>
        <v>345</v>
      </c>
      <c r="C352" s="3"/>
      <c r="D352" s="3">
        <v>242</v>
      </c>
      <c r="E352" s="3"/>
      <c r="F352" s="3"/>
      <c r="G352" s="3" t="s">
        <v>172</v>
      </c>
      <c r="H352" s="22">
        <f>H353</f>
        <v>5</v>
      </c>
      <c r="I352" s="22">
        <f>I353</f>
        <v>2</v>
      </c>
      <c r="J352" s="201">
        <f t="shared" si="38"/>
        <v>40</v>
      </c>
    </row>
    <row r="353" spans="2:10" x14ac:dyDescent="0.2">
      <c r="B353" s="29">
        <f t="shared" si="37"/>
        <v>346</v>
      </c>
      <c r="C353" s="4"/>
      <c r="D353" s="4"/>
      <c r="E353" s="4">
        <v>242</v>
      </c>
      <c r="F353" s="4"/>
      <c r="G353" s="4" t="s">
        <v>172</v>
      </c>
      <c r="H353" s="23">
        <v>5</v>
      </c>
      <c r="I353" s="23">
        <v>2</v>
      </c>
      <c r="J353" s="201">
        <f t="shared" si="38"/>
        <v>40</v>
      </c>
    </row>
    <row r="354" spans="2:10" x14ac:dyDescent="0.2">
      <c r="B354" s="29">
        <f t="shared" ref="B354:B382" si="39">B353+1</f>
        <v>347</v>
      </c>
      <c r="C354" s="8">
        <v>290</v>
      </c>
      <c r="D354" s="8"/>
      <c r="E354" s="8"/>
      <c r="F354" s="8"/>
      <c r="G354" s="8" t="s">
        <v>174</v>
      </c>
      <c r="H354" s="21">
        <f>H355</f>
        <v>300</v>
      </c>
      <c r="I354" s="21">
        <f>I355</f>
        <v>0</v>
      </c>
      <c r="J354" s="201">
        <f t="shared" si="38"/>
        <v>0</v>
      </c>
    </row>
    <row r="355" spans="2:10" x14ac:dyDescent="0.2">
      <c r="B355" s="29">
        <f t="shared" si="39"/>
        <v>348</v>
      </c>
      <c r="C355" s="3"/>
      <c r="D355" s="3">
        <v>292</v>
      </c>
      <c r="E355" s="3"/>
      <c r="F355" s="3"/>
      <c r="G355" s="3" t="s">
        <v>175</v>
      </c>
      <c r="H355" s="22">
        <f>H356</f>
        <v>300</v>
      </c>
      <c r="I355" s="22">
        <f>I356</f>
        <v>0</v>
      </c>
      <c r="J355" s="201">
        <f t="shared" si="38"/>
        <v>0</v>
      </c>
    </row>
    <row r="356" spans="2:10" ht="13.5" thickBot="1" x14ac:dyDescent="0.25">
      <c r="B356" s="29">
        <f t="shared" si="39"/>
        <v>349</v>
      </c>
      <c r="C356" s="4"/>
      <c r="D356" s="4"/>
      <c r="E356" s="4">
        <v>292012</v>
      </c>
      <c r="F356" s="4"/>
      <c r="G356" s="4" t="s">
        <v>7</v>
      </c>
      <c r="H356" s="23">
        <v>300</v>
      </c>
      <c r="I356" s="23">
        <v>0</v>
      </c>
      <c r="J356" s="201">
        <f t="shared" si="38"/>
        <v>0</v>
      </c>
    </row>
    <row r="357" spans="2:10" ht="15.75" thickBot="1" x14ac:dyDescent="0.3">
      <c r="B357" s="29">
        <f t="shared" si="39"/>
        <v>350</v>
      </c>
      <c r="C357" s="14">
        <v>14</v>
      </c>
      <c r="D357" s="14"/>
      <c r="E357" s="14"/>
      <c r="F357" s="14"/>
      <c r="G357" s="14" t="s">
        <v>264</v>
      </c>
      <c r="H357" s="20">
        <f>H361+H358+H364</f>
        <v>93920</v>
      </c>
      <c r="I357" s="20">
        <f>I358+I361+I364</f>
        <v>93778</v>
      </c>
      <c r="J357" s="201">
        <f t="shared" si="38"/>
        <v>99.848807495741056</v>
      </c>
    </row>
    <row r="358" spans="2:10" x14ac:dyDescent="0.2">
      <c r="B358" s="29">
        <f t="shared" si="39"/>
        <v>351</v>
      </c>
      <c r="C358" s="8">
        <v>220</v>
      </c>
      <c r="D358" s="8"/>
      <c r="E358" s="8"/>
      <c r="F358" s="8"/>
      <c r="G358" s="8" t="s">
        <v>223</v>
      </c>
      <c r="H358" s="21">
        <f>H359</f>
        <v>91005</v>
      </c>
      <c r="I358" s="21">
        <f>I359</f>
        <v>87454</v>
      </c>
      <c r="J358" s="201">
        <f t="shared" si="38"/>
        <v>96.098016592494915</v>
      </c>
    </row>
    <row r="359" spans="2:10" x14ac:dyDescent="0.2">
      <c r="B359" s="29">
        <f t="shared" si="39"/>
        <v>352</v>
      </c>
      <c r="C359" s="3"/>
      <c r="D359" s="3">
        <v>223</v>
      </c>
      <c r="E359" s="3"/>
      <c r="F359" s="3"/>
      <c r="G359" s="3" t="s">
        <v>25</v>
      </c>
      <c r="H359" s="22">
        <f>H360</f>
        <v>91005</v>
      </c>
      <c r="I359" s="22">
        <f>I360</f>
        <v>87454</v>
      </c>
      <c r="J359" s="201">
        <f t="shared" si="38"/>
        <v>96.098016592494915</v>
      </c>
    </row>
    <row r="360" spans="2:10" x14ac:dyDescent="0.2">
      <c r="B360" s="29">
        <f t="shared" si="39"/>
        <v>353</v>
      </c>
      <c r="C360" s="4"/>
      <c r="D360" s="4"/>
      <c r="E360" s="4">
        <v>223001</v>
      </c>
      <c r="F360" s="4"/>
      <c r="G360" s="4" t="s">
        <v>26</v>
      </c>
      <c r="H360" s="23">
        <v>91005</v>
      </c>
      <c r="I360" s="23">
        <v>87454</v>
      </c>
      <c r="J360" s="201">
        <f t="shared" si="38"/>
        <v>96.098016592494915</v>
      </c>
    </row>
    <row r="361" spans="2:10" x14ac:dyDescent="0.2">
      <c r="B361" s="29">
        <f t="shared" si="39"/>
        <v>354</v>
      </c>
      <c r="C361" s="8">
        <v>240</v>
      </c>
      <c r="D361" s="8"/>
      <c r="E361" s="8"/>
      <c r="F361" s="8"/>
      <c r="G361" s="8" t="s">
        <v>173</v>
      </c>
      <c r="H361" s="21">
        <f>H362</f>
        <v>5</v>
      </c>
      <c r="I361" s="21">
        <f>I362</f>
        <v>2</v>
      </c>
      <c r="J361" s="201">
        <f t="shared" si="38"/>
        <v>40</v>
      </c>
    </row>
    <row r="362" spans="2:10" x14ac:dyDescent="0.2">
      <c r="B362" s="29">
        <f t="shared" si="39"/>
        <v>355</v>
      </c>
      <c r="C362" s="3"/>
      <c r="D362" s="3">
        <v>242</v>
      </c>
      <c r="E362" s="3"/>
      <c r="F362" s="3"/>
      <c r="G362" s="3" t="s">
        <v>172</v>
      </c>
      <c r="H362" s="22">
        <f>H363</f>
        <v>5</v>
      </c>
      <c r="I362" s="22">
        <f>I363</f>
        <v>2</v>
      </c>
      <c r="J362" s="201">
        <f t="shared" si="38"/>
        <v>40</v>
      </c>
    </row>
    <row r="363" spans="2:10" x14ac:dyDescent="0.2">
      <c r="B363" s="29">
        <f t="shared" si="39"/>
        <v>356</v>
      </c>
      <c r="C363" s="4"/>
      <c r="D363" s="4"/>
      <c r="E363" s="4">
        <v>242</v>
      </c>
      <c r="F363" s="4"/>
      <c r="G363" s="4" t="s">
        <v>172</v>
      </c>
      <c r="H363" s="23">
        <v>5</v>
      </c>
      <c r="I363" s="23">
        <v>2</v>
      </c>
      <c r="J363" s="201">
        <f t="shared" si="38"/>
        <v>40</v>
      </c>
    </row>
    <row r="364" spans="2:10" x14ac:dyDescent="0.2">
      <c r="B364" s="29">
        <f t="shared" si="39"/>
        <v>357</v>
      </c>
      <c r="C364" s="8">
        <v>290</v>
      </c>
      <c r="D364" s="8"/>
      <c r="E364" s="8"/>
      <c r="F364" s="8"/>
      <c r="G364" s="8" t="s">
        <v>174</v>
      </c>
      <c r="H364" s="21">
        <f>H365</f>
        <v>2910</v>
      </c>
      <c r="I364" s="21">
        <f>I365</f>
        <v>6322</v>
      </c>
      <c r="J364" s="201">
        <f t="shared" si="38"/>
        <v>217.25085910652919</v>
      </c>
    </row>
    <row r="365" spans="2:10" x14ac:dyDescent="0.2">
      <c r="B365" s="29">
        <f t="shared" si="39"/>
        <v>358</v>
      </c>
      <c r="C365" s="3"/>
      <c r="D365" s="3">
        <v>292</v>
      </c>
      <c r="E365" s="3"/>
      <c r="F365" s="3"/>
      <c r="G365" s="3" t="s">
        <v>175</v>
      </c>
      <c r="H365" s="22">
        <f>H366</f>
        <v>2910</v>
      </c>
      <c r="I365" s="22">
        <f>I366</f>
        <v>6322</v>
      </c>
      <c r="J365" s="201">
        <f t="shared" si="38"/>
        <v>217.25085910652919</v>
      </c>
    </row>
    <row r="366" spans="2:10" x14ac:dyDescent="0.2">
      <c r="B366" s="29">
        <f t="shared" si="39"/>
        <v>359</v>
      </c>
      <c r="C366" s="4"/>
      <c r="D366" s="4"/>
      <c r="E366" s="4">
        <v>292017</v>
      </c>
      <c r="F366" s="4"/>
      <c r="G366" s="4" t="s">
        <v>532</v>
      </c>
      <c r="H366" s="23">
        <v>2910</v>
      </c>
      <c r="I366" s="23">
        <v>6322</v>
      </c>
      <c r="J366" s="201">
        <f t="shared" si="38"/>
        <v>217.25085910652919</v>
      </c>
    </row>
    <row r="367" spans="2:10" ht="16.5" thickBot="1" x14ac:dyDescent="0.3">
      <c r="B367" s="29">
        <f t="shared" si="39"/>
        <v>360</v>
      </c>
      <c r="C367" s="13">
        <v>300</v>
      </c>
      <c r="D367" s="13"/>
      <c r="E367" s="13"/>
      <c r="F367" s="13"/>
      <c r="G367" s="13" t="s">
        <v>227</v>
      </c>
      <c r="H367" s="19">
        <f>H427+H423+H419+H415+H407+H403+H368+H392+H398+H411</f>
        <v>8240300</v>
      </c>
      <c r="I367" s="19">
        <f>I427+I423+I419+I415+I407+I403+I368+I392+I398+I411</f>
        <v>8124025</v>
      </c>
      <c r="J367" s="201">
        <f t="shared" si="38"/>
        <v>98.58894700435664</v>
      </c>
    </row>
    <row r="368" spans="2:10" ht="15.75" thickBot="1" x14ac:dyDescent="0.3">
      <c r="B368" s="29">
        <f t="shared" si="39"/>
        <v>361</v>
      </c>
      <c r="C368" s="14"/>
      <c r="D368" s="14"/>
      <c r="E368" s="14"/>
      <c r="F368" s="14"/>
      <c r="G368" s="14" t="s">
        <v>281</v>
      </c>
      <c r="H368" s="20">
        <f>H369</f>
        <v>7936003</v>
      </c>
      <c r="I368" s="20">
        <f>I369</f>
        <v>7871001</v>
      </c>
      <c r="J368" s="201">
        <f t="shared" si="38"/>
        <v>99.180922688663301</v>
      </c>
    </row>
    <row r="369" spans="2:10" x14ac:dyDescent="0.2">
      <c r="B369" s="29">
        <f t="shared" si="39"/>
        <v>362</v>
      </c>
      <c r="C369" s="8">
        <v>310</v>
      </c>
      <c r="D369" s="8"/>
      <c r="E369" s="8"/>
      <c r="F369" s="8"/>
      <c r="G369" s="8" t="s">
        <v>228</v>
      </c>
      <c r="H369" s="21">
        <f>H372+H370</f>
        <v>7936003</v>
      </c>
      <c r="I369" s="21">
        <f>I372+I370+I371</f>
        <v>7871001</v>
      </c>
      <c r="J369" s="201">
        <f t="shared" si="38"/>
        <v>99.180922688663301</v>
      </c>
    </row>
    <row r="370" spans="2:10" x14ac:dyDescent="0.2">
      <c r="B370" s="29">
        <f t="shared" si="39"/>
        <v>363</v>
      </c>
      <c r="C370" s="3"/>
      <c r="D370" s="3">
        <v>311</v>
      </c>
      <c r="E370" s="3"/>
      <c r="F370" s="3"/>
      <c r="G370" s="3" t="s">
        <v>580</v>
      </c>
      <c r="H370" s="22">
        <f>2000+700</f>
        <v>2700</v>
      </c>
      <c r="I370" s="22">
        <v>2700</v>
      </c>
      <c r="J370" s="201">
        <f t="shared" si="38"/>
        <v>100</v>
      </c>
    </row>
    <row r="371" spans="2:10" x14ac:dyDescent="0.2">
      <c r="B371" s="29">
        <f t="shared" si="39"/>
        <v>364</v>
      </c>
      <c r="C371" s="3"/>
      <c r="D371" s="3">
        <v>311</v>
      </c>
      <c r="E371" s="3"/>
      <c r="F371" s="3"/>
      <c r="G371" s="3" t="s">
        <v>770</v>
      </c>
      <c r="H371" s="22"/>
      <c r="I371" s="22">
        <v>250</v>
      </c>
      <c r="J371" s="201"/>
    </row>
    <row r="372" spans="2:10" x14ac:dyDescent="0.2">
      <c r="B372" s="29">
        <f t="shared" si="39"/>
        <v>365</v>
      </c>
      <c r="C372" s="3"/>
      <c r="D372" s="3">
        <v>312</v>
      </c>
      <c r="E372" s="3"/>
      <c r="F372" s="3"/>
      <c r="G372" s="3" t="s">
        <v>190</v>
      </c>
      <c r="H372" s="22">
        <f>H373+H382</f>
        <v>7933303</v>
      </c>
      <c r="I372" s="22">
        <f>I373+I382</f>
        <v>7868051</v>
      </c>
      <c r="J372" s="201">
        <f t="shared" si="38"/>
        <v>99.177492653438293</v>
      </c>
    </row>
    <row r="373" spans="2:10" x14ac:dyDescent="0.2">
      <c r="B373" s="29">
        <f t="shared" si="39"/>
        <v>366</v>
      </c>
      <c r="C373" s="4"/>
      <c r="D373" s="4"/>
      <c r="E373" s="4">
        <v>312001</v>
      </c>
      <c r="F373" s="4"/>
      <c r="G373" s="4" t="s">
        <v>8</v>
      </c>
      <c r="H373" s="23">
        <f>SUM(H374:H381)</f>
        <v>931883</v>
      </c>
      <c r="I373" s="23">
        <f>SUM(I374:I381)</f>
        <v>910296</v>
      </c>
      <c r="J373" s="201">
        <f t="shared" si="38"/>
        <v>97.68350747894317</v>
      </c>
    </row>
    <row r="374" spans="2:10" x14ac:dyDescent="0.2">
      <c r="B374" s="29">
        <f t="shared" si="39"/>
        <v>367</v>
      </c>
      <c r="C374" s="5"/>
      <c r="D374" s="5"/>
      <c r="E374" s="5"/>
      <c r="F374" s="5"/>
      <c r="G374" s="5" t="s">
        <v>398</v>
      </c>
      <c r="H374" s="24">
        <f>833090+13438</f>
        <v>846528</v>
      </c>
      <c r="I374" s="24">
        <v>830997</v>
      </c>
      <c r="J374" s="201">
        <f t="shared" si="38"/>
        <v>98.165329439782269</v>
      </c>
    </row>
    <row r="375" spans="2:10" x14ac:dyDescent="0.2">
      <c r="B375" s="29">
        <f t="shared" si="39"/>
        <v>368</v>
      </c>
      <c r="C375" s="5"/>
      <c r="D375" s="5"/>
      <c r="E375" s="5"/>
      <c r="F375" s="5"/>
      <c r="G375" s="5" t="s">
        <v>180</v>
      </c>
      <c r="H375" s="24">
        <f>12000+3000</f>
        <v>15000</v>
      </c>
      <c r="I375" s="24">
        <v>10554</v>
      </c>
      <c r="J375" s="201">
        <f t="shared" si="38"/>
        <v>70.36</v>
      </c>
    </row>
    <row r="376" spans="2:10" x14ac:dyDescent="0.2">
      <c r="B376" s="29">
        <f t="shared" si="39"/>
        <v>369</v>
      </c>
      <c r="C376" s="5"/>
      <c r="D376" s="5"/>
      <c r="E376" s="5"/>
      <c r="F376" s="5"/>
      <c r="G376" s="5" t="s">
        <v>533</v>
      </c>
      <c r="H376" s="24">
        <f>3300+3099+3342+441</f>
        <v>10182</v>
      </c>
      <c r="I376" s="24">
        <f>1461+7647</f>
        <v>9108</v>
      </c>
      <c r="J376" s="201">
        <f t="shared" si="38"/>
        <v>89.45197407189157</v>
      </c>
    </row>
    <row r="377" spans="2:10" x14ac:dyDescent="0.2">
      <c r="B377" s="29">
        <f t="shared" si="39"/>
        <v>370</v>
      </c>
      <c r="C377" s="5"/>
      <c r="D377" s="5"/>
      <c r="E377" s="5"/>
      <c r="F377" s="5"/>
      <c r="G377" s="5" t="s">
        <v>534</v>
      </c>
      <c r="H377" s="24">
        <v>44273</v>
      </c>
      <c r="I377" s="24">
        <v>44273</v>
      </c>
      <c r="J377" s="201">
        <f t="shared" si="38"/>
        <v>100</v>
      </c>
    </row>
    <row r="378" spans="2:10" x14ac:dyDescent="0.2">
      <c r="B378" s="29">
        <f t="shared" si="39"/>
        <v>371</v>
      </c>
      <c r="C378" s="5"/>
      <c r="D378" s="5"/>
      <c r="E378" s="5"/>
      <c r="F378" s="5"/>
      <c r="G378" s="5" t="s">
        <v>626</v>
      </c>
      <c r="H378" s="24">
        <v>2200</v>
      </c>
      <c r="I378" s="24">
        <v>2200</v>
      </c>
      <c r="J378" s="201">
        <f t="shared" si="38"/>
        <v>100</v>
      </c>
    </row>
    <row r="379" spans="2:10" x14ac:dyDescent="0.2">
      <c r="B379" s="29">
        <f t="shared" si="39"/>
        <v>372</v>
      </c>
      <c r="C379" s="5"/>
      <c r="D379" s="5"/>
      <c r="E379" s="5"/>
      <c r="F379" s="5"/>
      <c r="G379" s="196" t="s">
        <v>691</v>
      </c>
      <c r="H379" s="197">
        <v>3200</v>
      </c>
      <c r="I379" s="197">
        <v>2664</v>
      </c>
      <c r="J379" s="201">
        <f t="shared" si="38"/>
        <v>83.25</v>
      </c>
    </row>
    <row r="380" spans="2:10" x14ac:dyDescent="0.2">
      <c r="B380" s="29">
        <f t="shared" si="39"/>
        <v>373</v>
      </c>
      <c r="C380" s="5"/>
      <c r="D380" s="5"/>
      <c r="E380" s="5"/>
      <c r="F380" s="5"/>
      <c r="G380" s="196" t="s">
        <v>714</v>
      </c>
      <c r="H380" s="197">
        <v>6500</v>
      </c>
      <c r="I380" s="197">
        <v>6500</v>
      </c>
      <c r="J380" s="201">
        <f t="shared" si="38"/>
        <v>100</v>
      </c>
    </row>
    <row r="381" spans="2:10" x14ac:dyDescent="0.2">
      <c r="B381" s="29">
        <f t="shared" si="39"/>
        <v>374</v>
      </c>
      <c r="C381" s="5"/>
      <c r="D381" s="5"/>
      <c r="E381" s="5"/>
      <c r="F381" s="5"/>
      <c r="G381" s="196" t="s">
        <v>715</v>
      </c>
      <c r="H381" s="197">
        <v>4000</v>
      </c>
      <c r="I381" s="197">
        <v>4000</v>
      </c>
      <c r="J381" s="201">
        <f t="shared" si="38"/>
        <v>100</v>
      </c>
    </row>
    <row r="382" spans="2:10" x14ac:dyDescent="0.2">
      <c r="B382" s="29">
        <f t="shared" si="39"/>
        <v>375</v>
      </c>
      <c r="C382" s="4"/>
      <c r="D382" s="4"/>
      <c r="E382" s="4">
        <v>312012</v>
      </c>
      <c r="F382" s="4"/>
      <c r="G382" s="60" t="s">
        <v>9</v>
      </c>
      <c r="H382" s="58">
        <f>SUM(H383:H391)</f>
        <v>7001420</v>
      </c>
      <c r="I382" s="58">
        <f>SUM(I383:I391)</f>
        <v>6957755</v>
      </c>
      <c r="J382" s="201">
        <f t="shared" si="38"/>
        <v>99.376340799437827</v>
      </c>
    </row>
    <row r="383" spans="2:10" x14ac:dyDescent="0.2">
      <c r="B383" s="29">
        <f t="shared" ref="B383:B431" si="40">B382+1</f>
        <v>376</v>
      </c>
      <c r="C383" s="5"/>
      <c r="D383" s="5"/>
      <c r="E383" s="5"/>
      <c r="F383" s="5"/>
      <c r="G383" s="196" t="s">
        <v>399</v>
      </c>
      <c r="H383" s="197">
        <f>6479800+48130+140630+2802</f>
        <v>6671362</v>
      </c>
      <c r="I383" s="197">
        <f>2000+57620+40001+6346304+91140+49110+15865+3086+20277</f>
        <v>6625403</v>
      </c>
      <c r="J383" s="201">
        <f t="shared" si="38"/>
        <v>99.311100192134688</v>
      </c>
    </row>
    <row r="384" spans="2:10" x14ac:dyDescent="0.2">
      <c r="B384" s="29">
        <f t="shared" si="40"/>
        <v>377</v>
      </c>
      <c r="C384" s="5"/>
      <c r="D384" s="5"/>
      <c r="E384" s="5"/>
      <c r="F384" s="5"/>
      <c r="G384" s="196" t="s">
        <v>400</v>
      </c>
      <c r="H384" s="197">
        <f>81340+1016</f>
        <v>82356</v>
      </c>
      <c r="I384" s="197">
        <v>82353</v>
      </c>
      <c r="J384" s="201">
        <f t="shared" si="38"/>
        <v>99.996357278158243</v>
      </c>
    </row>
    <row r="385" spans="2:10" x14ac:dyDescent="0.2">
      <c r="B385" s="29">
        <f t="shared" si="40"/>
        <v>378</v>
      </c>
      <c r="C385" s="5"/>
      <c r="D385" s="5"/>
      <c r="E385" s="5"/>
      <c r="F385" s="5"/>
      <c r="G385" s="196" t="s">
        <v>401</v>
      </c>
      <c r="H385" s="197">
        <f>87000+8772+3562</f>
        <v>99334</v>
      </c>
      <c r="I385" s="197">
        <v>99334</v>
      </c>
      <c r="J385" s="201">
        <f t="shared" si="38"/>
        <v>100</v>
      </c>
    </row>
    <row r="386" spans="2:10" x14ac:dyDescent="0.2">
      <c r="B386" s="29">
        <f t="shared" si="40"/>
        <v>379</v>
      </c>
      <c r="C386" s="5"/>
      <c r="D386" s="5"/>
      <c r="E386" s="5"/>
      <c r="F386" s="5"/>
      <c r="G386" s="196" t="s">
        <v>402</v>
      </c>
      <c r="H386" s="197">
        <v>52000</v>
      </c>
      <c r="I386" s="197">
        <v>54360</v>
      </c>
      <c r="J386" s="201">
        <f t="shared" si="38"/>
        <v>104.53846153846153</v>
      </c>
    </row>
    <row r="387" spans="2:10" x14ac:dyDescent="0.2">
      <c r="B387" s="29">
        <f t="shared" si="40"/>
        <v>380</v>
      </c>
      <c r="C387" s="5"/>
      <c r="D387" s="5"/>
      <c r="E387" s="5"/>
      <c r="F387" s="5"/>
      <c r="G387" s="196" t="s">
        <v>403</v>
      </c>
      <c r="H387" s="197">
        <f>38805+2203</f>
        <v>41008</v>
      </c>
      <c r="I387" s="197">
        <v>41008</v>
      </c>
      <c r="J387" s="201">
        <f t="shared" si="38"/>
        <v>100</v>
      </c>
    </row>
    <row r="388" spans="2:10" x14ac:dyDescent="0.2">
      <c r="B388" s="29">
        <f t="shared" si="40"/>
        <v>381</v>
      </c>
      <c r="C388" s="5"/>
      <c r="D388" s="5"/>
      <c r="E388" s="5"/>
      <c r="F388" s="5"/>
      <c r="G388" s="196" t="s">
        <v>404</v>
      </c>
      <c r="H388" s="197">
        <v>18500</v>
      </c>
      <c r="I388" s="197">
        <f>18433+137</f>
        <v>18570</v>
      </c>
      <c r="J388" s="201">
        <f t="shared" si="38"/>
        <v>100.37837837837837</v>
      </c>
    </row>
    <row r="389" spans="2:10" x14ac:dyDescent="0.2">
      <c r="B389" s="29">
        <f t="shared" si="40"/>
        <v>382</v>
      </c>
      <c r="C389" s="5"/>
      <c r="D389" s="5"/>
      <c r="E389" s="5"/>
      <c r="F389" s="5"/>
      <c r="G389" s="196" t="s">
        <v>405</v>
      </c>
      <c r="H389" s="197">
        <v>24500</v>
      </c>
      <c r="I389" s="197">
        <v>24367</v>
      </c>
      <c r="J389" s="201">
        <f t="shared" ref="J389:J430" si="41">I389/H389*100</f>
        <v>99.457142857142856</v>
      </c>
    </row>
    <row r="390" spans="2:10" x14ac:dyDescent="0.2">
      <c r="B390" s="29">
        <f t="shared" si="40"/>
        <v>383</v>
      </c>
      <c r="C390" s="5"/>
      <c r="D390" s="5"/>
      <c r="E390" s="5"/>
      <c r="F390" s="5"/>
      <c r="G390" s="196" t="s">
        <v>505</v>
      </c>
      <c r="H390" s="197">
        <v>7135</v>
      </c>
      <c r="I390" s="197">
        <v>7135</v>
      </c>
      <c r="J390" s="201">
        <f t="shared" si="41"/>
        <v>100</v>
      </c>
    </row>
    <row r="391" spans="2:10" ht="13.5" thickBot="1" x14ac:dyDescent="0.25">
      <c r="B391" s="29">
        <f t="shared" si="40"/>
        <v>384</v>
      </c>
      <c r="C391" s="5"/>
      <c r="D391" s="5"/>
      <c r="E391" s="5"/>
      <c r="F391" s="5"/>
      <c r="G391" s="196" t="s">
        <v>617</v>
      </c>
      <c r="H391" s="197">
        <v>5225</v>
      </c>
      <c r="I391" s="197">
        <v>5225</v>
      </c>
      <c r="J391" s="201">
        <f t="shared" si="41"/>
        <v>100</v>
      </c>
    </row>
    <row r="392" spans="2:10" ht="15.75" thickBot="1" x14ac:dyDescent="0.3">
      <c r="B392" s="29">
        <f t="shared" si="40"/>
        <v>385</v>
      </c>
      <c r="C392" s="14">
        <v>1</v>
      </c>
      <c r="D392" s="14"/>
      <c r="E392" s="14"/>
      <c r="F392" s="14"/>
      <c r="G392" s="14" t="s">
        <v>312</v>
      </c>
      <c r="H392" s="20">
        <f>H393</f>
        <v>8800</v>
      </c>
      <c r="I392" s="20">
        <f>I393</f>
        <v>8800</v>
      </c>
      <c r="J392" s="201">
        <f t="shared" si="41"/>
        <v>100</v>
      </c>
    </row>
    <row r="393" spans="2:10" x14ac:dyDescent="0.2">
      <c r="B393" s="29">
        <f t="shared" si="40"/>
        <v>386</v>
      </c>
      <c r="C393" s="8">
        <v>310</v>
      </c>
      <c r="D393" s="8"/>
      <c r="E393" s="8"/>
      <c r="F393" s="8"/>
      <c r="G393" s="8" t="s">
        <v>228</v>
      </c>
      <c r="H393" s="21">
        <f>H396+H394</f>
        <v>8800</v>
      </c>
      <c r="I393" s="21">
        <f>I396+I394</f>
        <v>8800</v>
      </c>
      <c r="J393" s="201">
        <f t="shared" si="41"/>
        <v>100</v>
      </c>
    </row>
    <row r="394" spans="2:10" x14ac:dyDescent="0.2">
      <c r="B394" s="29">
        <f t="shared" si="40"/>
        <v>387</v>
      </c>
      <c r="C394" s="3"/>
      <c r="D394" s="3">
        <v>311</v>
      </c>
      <c r="E394" s="3"/>
      <c r="F394" s="3"/>
      <c r="G394" s="3" t="s">
        <v>226</v>
      </c>
      <c r="H394" s="22">
        <f>H395</f>
        <v>400</v>
      </c>
      <c r="I394" s="22">
        <f>I395</f>
        <v>400</v>
      </c>
      <c r="J394" s="201">
        <f t="shared" si="41"/>
        <v>100</v>
      </c>
    </row>
    <row r="395" spans="2:10" x14ac:dyDescent="0.2">
      <c r="B395" s="29">
        <f t="shared" si="40"/>
        <v>388</v>
      </c>
      <c r="C395" s="4"/>
      <c r="D395" s="4"/>
      <c r="E395" s="4"/>
      <c r="F395" s="4"/>
      <c r="G395" s="4" t="s">
        <v>754</v>
      </c>
      <c r="H395" s="23">
        <v>400</v>
      </c>
      <c r="I395" s="23">
        <v>400</v>
      </c>
      <c r="J395" s="201">
        <f t="shared" si="41"/>
        <v>100</v>
      </c>
    </row>
    <row r="396" spans="2:10" x14ac:dyDescent="0.2">
      <c r="B396" s="29">
        <f t="shared" si="40"/>
        <v>389</v>
      </c>
      <c r="C396" s="3"/>
      <c r="D396" s="3">
        <v>312</v>
      </c>
      <c r="E396" s="3"/>
      <c r="F396" s="3"/>
      <c r="G396" s="3" t="s">
        <v>190</v>
      </c>
      <c r="H396" s="22">
        <f>H397</f>
        <v>8400</v>
      </c>
      <c r="I396" s="22">
        <f>I397</f>
        <v>8400</v>
      </c>
      <c r="J396" s="201">
        <f t="shared" si="41"/>
        <v>100</v>
      </c>
    </row>
    <row r="397" spans="2:10" ht="13.5" thickBot="1" x14ac:dyDescent="0.25">
      <c r="B397" s="29">
        <f t="shared" si="40"/>
        <v>390</v>
      </c>
      <c r="C397" s="4"/>
      <c r="D397" s="4"/>
      <c r="E397" s="4"/>
      <c r="F397" s="4"/>
      <c r="G397" s="4" t="s">
        <v>636</v>
      </c>
      <c r="H397" s="23">
        <f>2500+2900+3000</f>
        <v>8400</v>
      </c>
      <c r="I397" s="23">
        <v>8400</v>
      </c>
      <c r="J397" s="201">
        <f t="shared" si="41"/>
        <v>100</v>
      </c>
    </row>
    <row r="398" spans="2:10" ht="15.75" thickBot="1" x14ac:dyDescent="0.3">
      <c r="B398" s="29">
        <f t="shared" si="40"/>
        <v>391</v>
      </c>
      <c r="C398" s="14">
        <v>5</v>
      </c>
      <c r="D398" s="14"/>
      <c r="E398" s="14"/>
      <c r="F398" s="14"/>
      <c r="G398" s="14" t="s">
        <v>265</v>
      </c>
      <c r="H398" s="20">
        <f t="shared" ref="H398:I399" si="42">H399</f>
        <v>284427</v>
      </c>
      <c r="I398" s="20">
        <f t="shared" si="42"/>
        <v>232442</v>
      </c>
      <c r="J398" s="201">
        <f t="shared" si="41"/>
        <v>81.722902537382183</v>
      </c>
    </row>
    <row r="399" spans="2:10" x14ac:dyDescent="0.2">
      <c r="B399" s="29">
        <f t="shared" si="40"/>
        <v>392</v>
      </c>
      <c r="C399" s="8">
        <v>310</v>
      </c>
      <c r="D399" s="8"/>
      <c r="E399" s="8"/>
      <c r="F399" s="8"/>
      <c r="G399" s="8" t="s">
        <v>228</v>
      </c>
      <c r="H399" s="21">
        <f t="shared" si="42"/>
        <v>284427</v>
      </c>
      <c r="I399" s="21">
        <f t="shared" si="42"/>
        <v>232442</v>
      </c>
      <c r="J399" s="201">
        <f t="shared" si="41"/>
        <v>81.722902537382183</v>
      </c>
    </row>
    <row r="400" spans="2:10" x14ac:dyDescent="0.2">
      <c r="B400" s="29">
        <f t="shared" si="40"/>
        <v>393</v>
      </c>
      <c r="C400" s="3"/>
      <c r="D400" s="3">
        <v>312</v>
      </c>
      <c r="E400" s="3"/>
      <c r="F400" s="3"/>
      <c r="G400" s="3" t="s">
        <v>190</v>
      </c>
      <c r="H400" s="22">
        <f>H401</f>
        <v>284427</v>
      </c>
      <c r="I400" s="22">
        <f>I401</f>
        <v>232442</v>
      </c>
      <c r="J400" s="201">
        <f t="shared" si="41"/>
        <v>81.722902537382183</v>
      </c>
    </row>
    <row r="401" spans="2:10" x14ac:dyDescent="0.2">
      <c r="B401" s="29">
        <f t="shared" si="40"/>
        <v>394</v>
      </c>
      <c r="C401" s="4"/>
      <c r="D401" s="4"/>
      <c r="E401" s="4">
        <v>312001</v>
      </c>
      <c r="F401" s="4"/>
      <c r="G401" s="4" t="s">
        <v>8</v>
      </c>
      <c r="H401" s="23">
        <f>H402</f>
        <v>284427</v>
      </c>
      <c r="I401" s="23">
        <f>I402</f>
        <v>232442</v>
      </c>
      <c r="J401" s="201">
        <f t="shared" si="41"/>
        <v>81.722902537382183</v>
      </c>
    </row>
    <row r="402" spans="2:10" ht="13.5" thickBot="1" x14ac:dyDescent="0.25">
      <c r="B402" s="29">
        <f t="shared" si="40"/>
        <v>395</v>
      </c>
      <c r="C402" s="152"/>
      <c r="D402" s="152"/>
      <c r="E402" s="152"/>
      <c r="F402" s="152"/>
      <c r="G402" s="152" t="s">
        <v>637</v>
      </c>
      <c r="H402" s="153">
        <v>284427</v>
      </c>
      <c r="I402" s="153">
        <v>232442</v>
      </c>
      <c r="J402" s="201">
        <f t="shared" si="41"/>
        <v>81.722902537382183</v>
      </c>
    </row>
    <row r="403" spans="2:10" ht="15.75" thickBot="1" x14ac:dyDescent="0.3">
      <c r="B403" s="29">
        <f t="shared" si="40"/>
        <v>396</v>
      </c>
      <c r="C403" s="14">
        <v>6</v>
      </c>
      <c r="D403" s="14"/>
      <c r="E403" s="14"/>
      <c r="F403" s="14"/>
      <c r="G403" s="14" t="s">
        <v>81</v>
      </c>
      <c r="H403" s="20">
        <f t="shared" ref="H403:I405" si="43">H404</f>
        <v>895</v>
      </c>
      <c r="I403" s="20">
        <f t="shared" si="43"/>
        <v>895</v>
      </c>
      <c r="J403" s="201">
        <f t="shared" si="41"/>
        <v>100</v>
      </c>
    </row>
    <row r="404" spans="2:10" x14ac:dyDescent="0.2">
      <c r="B404" s="29">
        <f t="shared" si="40"/>
        <v>397</v>
      </c>
      <c r="C404" s="8">
        <v>310</v>
      </c>
      <c r="D404" s="8"/>
      <c r="E404" s="8"/>
      <c r="F404" s="8"/>
      <c r="G404" s="8" t="s">
        <v>228</v>
      </c>
      <c r="H404" s="21">
        <f t="shared" si="43"/>
        <v>895</v>
      </c>
      <c r="I404" s="21">
        <f t="shared" si="43"/>
        <v>895</v>
      </c>
      <c r="J404" s="201">
        <f t="shared" si="41"/>
        <v>100</v>
      </c>
    </row>
    <row r="405" spans="2:10" x14ac:dyDescent="0.2">
      <c r="B405" s="29">
        <f t="shared" si="40"/>
        <v>398</v>
      </c>
      <c r="C405" s="3"/>
      <c r="D405" s="3">
        <v>311</v>
      </c>
      <c r="E405" s="3"/>
      <c r="F405" s="3"/>
      <c r="G405" s="3" t="s">
        <v>226</v>
      </c>
      <c r="H405" s="22">
        <f t="shared" si="43"/>
        <v>895</v>
      </c>
      <c r="I405" s="22">
        <f t="shared" si="43"/>
        <v>895</v>
      </c>
      <c r="J405" s="201">
        <f t="shared" si="41"/>
        <v>100</v>
      </c>
    </row>
    <row r="406" spans="2:10" ht="13.5" thickBot="1" x14ac:dyDescent="0.25">
      <c r="B406" s="29">
        <f t="shared" si="40"/>
        <v>399</v>
      </c>
      <c r="C406" s="5"/>
      <c r="D406" s="5"/>
      <c r="E406" s="5"/>
      <c r="F406" s="5"/>
      <c r="G406" s="5" t="s">
        <v>638</v>
      </c>
      <c r="H406" s="24">
        <v>895</v>
      </c>
      <c r="I406" s="24">
        <v>895</v>
      </c>
      <c r="J406" s="201">
        <f t="shared" si="41"/>
        <v>100</v>
      </c>
    </row>
    <row r="407" spans="2:10" ht="15.75" thickBot="1" x14ac:dyDescent="0.3">
      <c r="B407" s="29">
        <f t="shared" si="40"/>
        <v>400</v>
      </c>
      <c r="C407" s="14">
        <v>7</v>
      </c>
      <c r="D407" s="14"/>
      <c r="E407" s="14"/>
      <c r="F407" s="14"/>
      <c r="G407" s="14" t="s">
        <v>315</v>
      </c>
      <c r="H407" s="20">
        <f t="shared" ref="H407:I409" si="44">H408</f>
        <v>1859</v>
      </c>
      <c r="I407" s="20">
        <f t="shared" si="44"/>
        <v>1571</v>
      </c>
      <c r="J407" s="201">
        <f t="shared" si="41"/>
        <v>84.507799892415278</v>
      </c>
    </row>
    <row r="408" spans="2:10" x14ac:dyDescent="0.2">
      <c r="B408" s="29">
        <f t="shared" si="40"/>
        <v>401</v>
      </c>
      <c r="C408" s="8">
        <v>310</v>
      </c>
      <c r="D408" s="8"/>
      <c r="E408" s="8"/>
      <c r="F408" s="8"/>
      <c r="G408" s="8" t="s">
        <v>228</v>
      </c>
      <c r="H408" s="21">
        <f t="shared" si="44"/>
        <v>1859</v>
      </c>
      <c r="I408" s="21">
        <f t="shared" si="44"/>
        <v>1571</v>
      </c>
      <c r="J408" s="201">
        <f t="shared" si="41"/>
        <v>84.507799892415278</v>
      </c>
    </row>
    <row r="409" spans="2:10" x14ac:dyDescent="0.2">
      <c r="B409" s="29">
        <f t="shared" si="40"/>
        <v>402</v>
      </c>
      <c r="C409" s="3"/>
      <c r="D409" s="3">
        <v>311</v>
      </c>
      <c r="E409" s="3"/>
      <c r="F409" s="3"/>
      <c r="G409" s="3" t="s">
        <v>226</v>
      </c>
      <c r="H409" s="22">
        <f t="shared" si="44"/>
        <v>1859</v>
      </c>
      <c r="I409" s="22">
        <f t="shared" si="44"/>
        <v>1571</v>
      </c>
      <c r="J409" s="201">
        <f t="shared" si="41"/>
        <v>84.507799892415278</v>
      </c>
    </row>
    <row r="410" spans="2:10" ht="13.5" thickBot="1" x14ac:dyDescent="0.25">
      <c r="B410" s="29">
        <f t="shared" si="40"/>
        <v>403</v>
      </c>
      <c r="C410" s="4"/>
      <c r="D410" s="4"/>
      <c r="E410" s="4"/>
      <c r="F410" s="4"/>
      <c r="G410" s="4" t="s">
        <v>638</v>
      </c>
      <c r="H410" s="23">
        <f>945+334+580</f>
        <v>1859</v>
      </c>
      <c r="I410" s="23">
        <v>1571</v>
      </c>
      <c r="J410" s="201">
        <f t="shared" si="41"/>
        <v>84.507799892415278</v>
      </c>
    </row>
    <row r="411" spans="2:10" ht="15.75" thickBot="1" x14ac:dyDescent="0.3">
      <c r="B411" s="29">
        <f t="shared" si="40"/>
        <v>404</v>
      </c>
      <c r="C411" s="14">
        <v>8</v>
      </c>
      <c r="D411" s="14"/>
      <c r="E411" s="14"/>
      <c r="F411" s="14"/>
      <c r="G411" s="14" t="s">
        <v>313</v>
      </c>
      <c r="H411" s="20">
        <f t="shared" ref="H411:I413" si="45">H412</f>
        <v>671</v>
      </c>
      <c r="I411" s="20">
        <f t="shared" si="45"/>
        <v>671</v>
      </c>
      <c r="J411" s="201">
        <f t="shared" si="41"/>
        <v>100</v>
      </c>
    </row>
    <row r="412" spans="2:10" x14ac:dyDescent="0.2">
      <c r="B412" s="29">
        <f t="shared" si="40"/>
        <v>405</v>
      </c>
      <c r="C412" s="8">
        <v>310</v>
      </c>
      <c r="D412" s="8"/>
      <c r="E412" s="8"/>
      <c r="F412" s="8"/>
      <c r="G412" s="8" t="s">
        <v>228</v>
      </c>
      <c r="H412" s="21">
        <f t="shared" si="45"/>
        <v>671</v>
      </c>
      <c r="I412" s="21">
        <f t="shared" si="45"/>
        <v>671</v>
      </c>
      <c r="J412" s="201">
        <f t="shared" si="41"/>
        <v>100</v>
      </c>
    </row>
    <row r="413" spans="2:10" x14ac:dyDescent="0.2">
      <c r="B413" s="29">
        <f t="shared" si="40"/>
        <v>406</v>
      </c>
      <c r="C413" s="3"/>
      <c r="D413" s="3">
        <v>311</v>
      </c>
      <c r="E413" s="3"/>
      <c r="F413" s="3"/>
      <c r="G413" s="3" t="s">
        <v>226</v>
      </c>
      <c r="H413" s="22">
        <f t="shared" si="45"/>
        <v>671</v>
      </c>
      <c r="I413" s="22">
        <f t="shared" si="45"/>
        <v>671</v>
      </c>
      <c r="J413" s="201">
        <f t="shared" si="41"/>
        <v>100</v>
      </c>
    </row>
    <row r="414" spans="2:10" ht="13.5" thickBot="1" x14ac:dyDescent="0.25">
      <c r="B414" s="29">
        <f t="shared" si="40"/>
        <v>407</v>
      </c>
      <c r="C414" s="4"/>
      <c r="D414" s="4"/>
      <c r="E414" s="4"/>
      <c r="F414" s="4"/>
      <c r="G414" s="4" t="s">
        <v>638</v>
      </c>
      <c r="H414" s="23">
        <v>671</v>
      </c>
      <c r="I414" s="23">
        <v>671</v>
      </c>
      <c r="J414" s="201">
        <f t="shared" si="41"/>
        <v>100</v>
      </c>
    </row>
    <row r="415" spans="2:10" ht="15.75" thickBot="1" x14ac:dyDescent="0.3">
      <c r="B415" s="29">
        <f t="shared" si="40"/>
        <v>408</v>
      </c>
      <c r="C415" s="14">
        <v>9</v>
      </c>
      <c r="D415" s="14"/>
      <c r="E415" s="14"/>
      <c r="F415" s="14"/>
      <c r="G415" s="14" t="s">
        <v>273</v>
      </c>
      <c r="H415" s="20">
        <f t="shared" ref="H415:I417" si="46">H416</f>
        <v>5677</v>
      </c>
      <c r="I415" s="20">
        <f t="shared" si="46"/>
        <v>5677</v>
      </c>
      <c r="J415" s="201">
        <f t="shared" si="41"/>
        <v>100</v>
      </c>
    </row>
    <row r="416" spans="2:10" x14ac:dyDescent="0.2">
      <c r="B416" s="29">
        <f t="shared" si="40"/>
        <v>409</v>
      </c>
      <c r="C416" s="8">
        <v>310</v>
      </c>
      <c r="D416" s="8"/>
      <c r="E416" s="8"/>
      <c r="F416" s="8"/>
      <c r="G416" s="8" t="s">
        <v>228</v>
      </c>
      <c r="H416" s="21">
        <f t="shared" si="46"/>
        <v>5677</v>
      </c>
      <c r="I416" s="21">
        <f t="shared" si="46"/>
        <v>5677</v>
      </c>
      <c r="J416" s="201">
        <f t="shared" si="41"/>
        <v>100</v>
      </c>
    </row>
    <row r="417" spans="2:10" x14ac:dyDescent="0.2">
      <c r="B417" s="29">
        <f t="shared" si="40"/>
        <v>410</v>
      </c>
      <c r="C417" s="3"/>
      <c r="D417" s="3">
        <v>311</v>
      </c>
      <c r="E417" s="3"/>
      <c r="F417" s="3"/>
      <c r="G417" s="3" t="s">
        <v>226</v>
      </c>
      <c r="H417" s="22">
        <f t="shared" si="46"/>
        <v>5677</v>
      </c>
      <c r="I417" s="22">
        <f t="shared" si="46"/>
        <v>5677</v>
      </c>
      <c r="J417" s="201">
        <f t="shared" si="41"/>
        <v>100</v>
      </c>
    </row>
    <row r="418" spans="2:10" ht="13.5" thickBot="1" x14ac:dyDescent="0.25">
      <c r="B418" s="29">
        <f t="shared" si="40"/>
        <v>411</v>
      </c>
      <c r="C418" s="4"/>
      <c r="D418" s="4"/>
      <c r="E418" s="4"/>
      <c r="F418" s="4"/>
      <c r="G418" s="4" t="s">
        <v>638</v>
      </c>
      <c r="H418" s="23">
        <f>1500+4177</f>
        <v>5677</v>
      </c>
      <c r="I418" s="23">
        <v>5677</v>
      </c>
      <c r="J418" s="201">
        <f t="shared" si="41"/>
        <v>100</v>
      </c>
    </row>
    <row r="419" spans="2:10" ht="15.75" thickBot="1" x14ac:dyDescent="0.3">
      <c r="B419" s="29">
        <f t="shared" si="40"/>
        <v>412</v>
      </c>
      <c r="C419" s="14">
        <v>10</v>
      </c>
      <c r="D419" s="14"/>
      <c r="E419" s="14"/>
      <c r="F419" s="14"/>
      <c r="G419" s="14" t="s">
        <v>255</v>
      </c>
      <c r="H419" s="20">
        <f t="shared" ref="H419:I421" si="47">H420</f>
        <v>0</v>
      </c>
      <c r="I419" s="20">
        <f t="shared" si="47"/>
        <v>1000</v>
      </c>
      <c r="J419" s="201">
        <v>0</v>
      </c>
    </row>
    <row r="420" spans="2:10" x14ac:dyDescent="0.2">
      <c r="B420" s="29">
        <f t="shared" si="40"/>
        <v>413</v>
      </c>
      <c r="C420" s="8">
        <v>310</v>
      </c>
      <c r="D420" s="8"/>
      <c r="E420" s="8"/>
      <c r="F420" s="8"/>
      <c r="G420" s="8" t="s">
        <v>228</v>
      </c>
      <c r="H420" s="21">
        <f t="shared" si="47"/>
        <v>0</v>
      </c>
      <c r="I420" s="21">
        <f t="shared" si="47"/>
        <v>1000</v>
      </c>
      <c r="J420" s="201">
        <v>0</v>
      </c>
    </row>
    <row r="421" spans="2:10" x14ac:dyDescent="0.2">
      <c r="B421" s="29">
        <f t="shared" si="40"/>
        <v>414</v>
      </c>
      <c r="C421" s="3"/>
      <c r="D421" s="3">
        <v>311</v>
      </c>
      <c r="E421" s="3"/>
      <c r="F421" s="3"/>
      <c r="G421" s="3" t="s">
        <v>226</v>
      </c>
      <c r="H421" s="22">
        <f t="shared" si="47"/>
        <v>0</v>
      </c>
      <c r="I421" s="22">
        <f t="shared" si="47"/>
        <v>1000</v>
      </c>
      <c r="J421" s="201">
        <v>0</v>
      </c>
    </row>
    <row r="422" spans="2:10" ht="13.5" thickBot="1" x14ac:dyDescent="0.25">
      <c r="B422" s="29">
        <f t="shared" si="40"/>
        <v>415</v>
      </c>
      <c r="C422" s="4"/>
      <c r="D422" s="4"/>
      <c r="E422" s="4">
        <v>311</v>
      </c>
      <c r="F422" s="4"/>
      <c r="G422" s="60" t="s">
        <v>773</v>
      </c>
      <c r="H422" s="23">
        <v>0</v>
      </c>
      <c r="I422" s="23">
        <v>1000</v>
      </c>
      <c r="J422" s="201">
        <v>0</v>
      </c>
    </row>
    <row r="423" spans="2:10" ht="15.75" thickBot="1" x14ac:dyDescent="0.3">
      <c r="B423" s="29">
        <f t="shared" si="40"/>
        <v>416</v>
      </c>
      <c r="C423" s="14">
        <v>12</v>
      </c>
      <c r="D423" s="14"/>
      <c r="E423" s="14"/>
      <c r="F423" s="14"/>
      <c r="G423" s="14" t="s">
        <v>271</v>
      </c>
      <c r="H423" s="20">
        <f t="shared" ref="H423:I425" si="48">H424</f>
        <v>500</v>
      </c>
      <c r="I423" s="20">
        <f t="shared" si="48"/>
        <v>500</v>
      </c>
      <c r="J423" s="201">
        <f t="shared" si="41"/>
        <v>100</v>
      </c>
    </row>
    <row r="424" spans="2:10" x14ac:dyDescent="0.2">
      <c r="B424" s="29">
        <f t="shared" si="40"/>
        <v>417</v>
      </c>
      <c r="C424" s="8">
        <v>310</v>
      </c>
      <c r="D424" s="8"/>
      <c r="E424" s="8"/>
      <c r="F424" s="8"/>
      <c r="G424" s="8" t="s">
        <v>228</v>
      </c>
      <c r="H424" s="21">
        <f t="shared" si="48"/>
        <v>500</v>
      </c>
      <c r="I424" s="21">
        <f t="shared" si="48"/>
        <v>500</v>
      </c>
      <c r="J424" s="201">
        <f t="shared" si="41"/>
        <v>100</v>
      </c>
    </row>
    <row r="425" spans="2:10" x14ac:dyDescent="0.2">
      <c r="B425" s="29">
        <f t="shared" si="40"/>
        <v>418</v>
      </c>
      <c r="C425" s="3"/>
      <c r="D425" s="3">
        <v>311</v>
      </c>
      <c r="E425" s="3"/>
      <c r="F425" s="3"/>
      <c r="G425" s="3" t="s">
        <v>226</v>
      </c>
      <c r="H425" s="22">
        <f t="shared" si="48"/>
        <v>500</v>
      </c>
      <c r="I425" s="22">
        <f t="shared" si="48"/>
        <v>500</v>
      </c>
      <c r="J425" s="201">
        <f t="shared" si="41"/>
        <v>100</v>
      </c>
    </row>
    <row r="426" spans="2:10" ht="13.5" thickBot="1" x14ac:dyDescent="0.25">
      <c r="B426" s="29">
        <f t="shared" si="40"/>
        <v>419</v>
      </c>
      <c r="C426" s="4"/>
      <c r="D426" s="4"/>
      <c r="E426" s="4"/>
      <c r="F426" s="4"/>
      <c r="G426" s="4" t="s">
        <v>638</v>
      </c>
      <c r="H426" s="23">
        <v>500</v>
      </c>
      <c r="I426" s="23">
        <v>500</v>
      </c>
      <c r="J426" s="201">
        <f t="shared" si="41"/>
        <v>100</v>
      </c>
    </row>
    <row r="427" spans="2:10" ht="15.75" thickBot="1" x14ac:dyDescent="0.3">
      <c r="B427" s="29">
        <f t="shared" si="40"/>
        <v>420</v>
      </c>
      <c r="C427" s="14">
        <v>13</v>
      </c>
      <c r="D427" s="14"/>
      <c r="E427" s="14"/>
      <c r="F427" s="14"/>
      <c r="G427" s="14" t="s">
        <v>254</v>
      </c>
      <c r="H427" s="20">
        <f t="shared" ref="H427:I429" si="49">H428</f>
        <v>1468</v>
      </c>
      <c r="I427" s="20">
        <f t="shared" si="49"/>
        <v>1468</v>
      </c>
      <c r="J427" s="201">
        <f t="shared" si="41"/>
        <v>100</v>
      </c>
    </row>
    <row r="428" spans="2:10" x14ac:dyDescent="0.2">
      <c r="B428" s="29">
        <f t="shared" si="40"/>
        <v>421</v>
      </c>
      <c r="C428" s="8">
        <v>310</v>
      </c>
      <c r="D428" s="8"/>
      <c r="E428" s="8"/>
      <c r="F428" s="8"/>
      <c r="G428" s="8" t="s">
        <v>228</v>
      </c>
      <c r="H428" s="21">
        <f t="shared" si="49"/>
        <v>1468</v>
      </c>
      <c r="I428" s="21">
        <f t="shared" si="49"/>
        <v>1468</v>
      </c>
      <c r="J428" s="201">
        <f t="shared" si="41"/>
        <v>100</v>
      </c>
    </row>
    <row r="429" spans="2:10" x14ac:dyDescent="0.2">
      <c r="B429" s="29">
        <f t="shared" si="40"/>
        <v>422</v>
      </c>
      <c r="C429" s="3"/>
      <c r="D429" s="3">
        <v>311</v>
      </c>
      <c r="E429" s="3"/>
      <c r="F429" s="3"/>
      <c r="G429" s="3" t="s">
        <v>226</v>
      </c>
      <c r="H429" s="22">
        <f t="shared" si="49"/>
        <v>1468</v>
      </c>
      <c r="I429" s="22">
        <f t="shared" si="49"/>
        <v>1468</v>
      </c>
      <c r="J429" s="201">
        <f t="shared" si="41"/>
        <v>100</v>
      </c>
    </row>
    <row r="430" spans="2:10" x14ac:dyDescent="0.2">
      <c r="B430" s="29">
        <f t="shared" si="40"/>
        <v>423</v>
      </c>
      <c r="C430" s="4"/>
      <c r="D430" s="4"/>
      <c r="E430" s="4"/>
      <c r="F430" s="4"/>
      <c r="G430" s="4" t="s">
        <v>638</v>
      </c>
      <c r="H430" s="23">
        <f>838+630</f>
        <v>1468</v>
      </c>
      <c r="I430" s="23">
        <v>1468</v>
      </c>
      <c r="J430" s="201">
        <f t="shared" si="41"/>
        <v>100</v>
      </c>
    </row>
    <row r="431" spans="2:10" ht="15" x14ac:dyDescent="0.2">
      <c r="B431" s="29">
        <f t="shared" si="40"/>
        <v>424</v>
      </c>
      <c r="C431" s="1"/>
      <c r="D431" s="1"/>
      <c r="E431" s="1"/>
      <c r="F431" s="1"/>
      <c r="G431" s="1" t="s">
        <v>118</v>
      </c>
      <c r="H431" s="25">
        <f>H367+H24+H8</f>
        <v>34985371</v>
      </c>
      <c r="I431" s="25">
        <f>I367+I24+I8</f>
        <v>37362428</v>
      </c>
      <c r="J431" s="201">
        <f t="shared" ref="J431" si="50">I431/H431*100</f>
        <v>106.79443130673103</v>
      </c>
    </row>
    <row r="433" spans="2:10" ht="15" customHeight="1" x14ac:dyDescent="0.2">
      <c r="B433" s="228" t="s">
        <v>169</v>
      </c>
      <c r="C433" s="229"/>
      <c r="D433" s="229"/>
      <c r="E433" s="229"/>
      <c r="F433" s="229"/>
      <c r="G433" s="230"/>
      <c r="H433" s="225" t="s">
        <v>574</v>
      </c>
      <c r="I433" s="222" t="s">
        <v>764</v>
      </c>
      <c r="J433" s="245" t="s">
        <v>763</v>
      </c>
    </row>
    <row r="434" spans="2:10" ht="18" customHeight="1" x14ac:dyDescent="0.2">
      <c r="B434" s="231"/>
      <c r="C434" s="232"/>
      <c r="D434" s="232"/>
      <c r="E434" s="232"/>
      <c r="F434" s="232"/>
      <c r="G434" s="233"/>
      <c r="H434" s="226"/>
      <c r="I434" s="223"/>
      <c r="J434" s="246"/>
    </row>
    <row r="435" spans="2:10" ht="12.75" customHeight="1" x14ac:dyDescent="0.2">
      <c r="B435" s="234" t="s">
        <v>111</v>
      </c>
      <c r="C435" s="236" t="s">
        <v>113</v>
      </c>
      <c r="D435" s="238" t="s">
        <v>114</v>
      </c>
      <c r="E435" s="238" t="s">
        <v>116</v>
      </c>
      <c r="F435" s="238" t="s">
        <v>117</v>
      </c>
      <c r="G435" s="243" t="s">
        <v>115</v>
      </c>
      <c r="H435" s="226"/>
      <c r="I435" s="223"/>
      <c r="J435" s="246"/>
    </row>
    <row r="436" spans="2:10" ht="13.5" customHeight="1" thickBot="1" x14ac:dyDescent="0.25">
      <c r="B436" s="235"/>
      <c r="C436" s="237"/>
      <c r="D436" s="239"/>
      <c r="E436" s="239"/>
      <c r="F436" s="239"/>
      <c r="G436" s="244"/>
      <c r="H436" s="227"/>
      <c r="I436" s="224"/>
      <c r="J436" s="247"/>
    </row>
    <row r="437" spans="2:10" ht="17.25" thickTop="1" thickBot="1" x14ac:dyDescent="0.3">
      <c r="B437" s="29">
        <v>1</v>
      </c>
      <c r="C437" s="13">
        <v>200</v>
      </c>
      <c r="D437" s="13"/>
      <c r="E437" s="13"/>
      <c r="F437" s="13"/>
      <c r="G437" s="13" t="s">
        <v>168</v>
      </c>
      <c r="H437" s="19">
        <f>H438</f>
        <v>883792</v>
      </c>
      <c r="I437" s="19">
        <f>I438</f>
        <v>878685</v>
      </c>
      <c r="J437" s="201">
        <f t="shared" ref="J437:J454" si="51">I437/H437*100</f>
        <v>99.422149102956354</v>
      </c>
    </row>
    <row r="438" spans="2:10" ht="15.75" thickBot="1" x14ac:dyDescent="0.3">
      <c r="B438" s="29">
        <f>B437+1</f>
        <v>2</v>
      </c>
      <c r="C438" s="14"/>
      <c r="D438" s="14"/>
      <c r="E438" s="14"/>
      <c r="F438" s="14"/>
      <c r="G438" s="14" t="s">
        <v>281</v>
      </c>
      <c r="H438" s="20">
        <f>H439</f>
        <v>883792</v>
      </c>
      <c r="I438" s="20">
        <f>I439</f>
        <v>878685</v>
      </c>
      <c r="J438" s="201">
        <f t="shared" si="51"/>
        <v>99.422149102956354</v>
      </c>
    </row>
    <row r="439" spans="2:10" x14ac:dyDescent="0.2">
      <c r="B439" s="29">
        <f>B438+1</f>
        <v>3</v>
      </c>
      <c r="C439" s="8">
        <v>230</v>
      </c>
      <c r="D439" s="8"/>
      <c r="E439" s="8"/>
      <c r="F439" s="8"/>
      <c r="G439" s="8" t="s">
        <v>169</v>
      </c>
      <c r="H439" s="21">
        <f>H442+H440</f>
        <v>883792</v>
      </c>
      <c r="I439" s="21">
        <f>I442+I440</f>
        <v>878685</v>
      </c>
      <c r="J439" s="201">
        <f t="shared" si="51"/>
        <v>99.422149102956354</v>
      </c>
    </row>
    <row r="440" spans="2:10" x14ac:dyDescent="0.2">
      <c r="B440" s="29">
        <f>B439+1</f>
        <v>4</v>
      </c>
      <c r="C440" s="3"/>
      <c r="D440" s="3">
        <v>231</v>
      </c>
      <c r="E440" s="3"/>
      <c r="F440" s="3"/>
      <c r="G440" s="3" t="s">
        <v>41</v>
      </c>
      <c r="H440" s="22">
        <f>H441</f>
        <v>10920</v>
      </c>
      <c r="I440" s="22">
        <f>I441</f>
        <v>29282</v>
      </c>
      <c r="J440" s="201">
        <f t="shared" si="51"/>
        <v>268.15018315018312</v>
      </c>
    </row>
    <row r="441" spans="2:10" x14ac:dyDescent="0.2">
      <c r="B441" s="29">
        <f t="shared" ref="B441:B454" si="52">B440+1</f>
        <v>5</v>
      </c>
      <c r="C441" s="4"/>
      <c r="D441" s="4"/>
      <c r="E441" s="4">
        <v>231</v>
      </c>
      <c r="F441" s="4"/>
      <c r="G441" s="4" t="s">
        <v>41</v>
      </c>
      <c r="H441" s="23">
        <v>10920</v>
      </c>
      <c r="I441" s="23">
        <v>29282</v>
      </c>
      <c r="J441" s="201">
        <f t="shared" si="51"/>
        <v>268.15018315018312</v>
      </c>
    </row>
    <row r="442" spans="2:10" x14ac:dyDescent="0.2">
      <c r="B442" s="29">
        <f t="shared" si="52"/>
        <v>6</v>
      </c>
      <c r="C442" s="3"/>
      <c r="D442" s="3">
        <v>233</v>
      </c>
      <c r="E442" s="3"/>
      <c r="F442" s="3"/>
      <c r="G442" s="3" t="s">
        <v>170</v>
      </c>
      <c r="H442" s="22">
        <f>H443</f>
        <v>872872</v>
      </c>
      <c r="I442" s="22">
        <f>I443</f>
        <v>849403</v>
      </c>
      <c r="J442" s="201">
        <f t="shared" si="51"/>
        <v>97.31128962780339</v>
      </c>
    </row>
    <row r="443" spans="2:10" x14ac:dyDescent="0.2">
      <c r="B443" s="29">
        <f t="shared" si="52"/>
        <v>7</v>
      </c>
      <c r="C443" s="4"/>
      <c r="D443" s="4"/>
      <c r="E443" s="4">
        <v>233001</v>
      </c>
      <c r="F443" s="4"/>
      <c r="G443" s="4" t="s">
        <v>171</v>
      </c>
      <c r="H443" s="23">
        <f>300000+260000+90000+50735+27182+54955+90000</f>
        <v>872872</v>
      </c>
      <c r="I443" s="23">
        <v>849403</v>
      </c>
      <c r="J443" s="201">
        <f t="shared" si="51"/>
        <v>97.31128962780339</v>
      </c>
    </row>
    <row r="444" spans="2:10" ht="16.5" thickBot="1" x14ac:dyDescent="0.3">
      <c r="B444" s="29">
        <f t="shared" si="52"/>
        <v>8</v>
      </c>
      <c r="C444" s="13">
        <v>300</v>
      </c>
      <c r="D444" s="13"/>
      <c r="E444" s="13"/>
      <c r="F444" s="13"/>
      <c r="G444" s="13" t="s">
        <v>227</v>
      </c>
      <c r="H444" s="19">
        <f>H445</f>
        <v>367205</v>
      </c>
      <c r="I444" s="19">
        <f>I445</f>
        <v>362242</v>
      </c>
      <c r="J444" s="201">
        <f t="shared" si="51"/>
        <v>98.648438882912814</v>
      </c>
    </row>
    <row r="445" spans="2:10" ht="15.75" thickBot="1" x14ac:dyDescent="0.3">
      <c r="B445" s="29">
        <f t="shared" si="52"/>
        <v>9</v>
      </c>
      <c r="C445" s="14"/>
      <c r="D445" s="14"/>
      <c r="E445" s="14"/>
      <c r="F445" s="14"/>
      <c r="G445" s="14" t="s">
        <v>281</v>
      </c>
      <c r="H445" s="20">
        <f>H446</f>
        <v>367205</v>
      </c>
      <c r="I445" s="20">
        <f>I446</f>
        <v>362242</v>
      </c>
      <c r="J445" s="201">
        <f t="shared" si="51"/>
        <v>98.648438882912814</v>
      </c>
    </row>
    <row r="446" spans="2:10" x14ac:dyDescent="0.2">
      <c r="B446" s="29">
        <f t="shared" si="52"/>
        <v>10</v>
      </c>
      <c r="C446" s="8">
        <v>320</v>
      </c>
      <c r="D446" s="8"/>
      <c r="E446" s="8"/>
      <c r="F446" s="8"/>
      <c r="G446" s="8" t="s">
        <v>60</v>
      </c>
      <c r="H446" s="21">
        <f>H449+H447</f>
        <v>367205</v>
      </c>
      <c r="I446" s="21">
        <f>I449+I447</f>
        <v>362242</v>
      </c>
      <c r="J446" s="201">
        <f t="shared" si="51"/>
        <v>98.648438882912814</v>
      </c>
    </row>
    <row r="447" spans="2:10" x14ac:dyDescent="0.2">
      <c r="B447" s="29">
        <f t="shared" si="52"/>
        <v>11</v>
      </c>
      <c r="C447" s="3"/>
      <c r="D447" s="3">
        <v>321</v>
      </c>
      <c r="E447" s="3"/>
      <c r="F447" s="3"/>
      <c r="G447" s="3" t="s">
        <v>226</v>
      </c>
      <c r="H447" s="22">
        <f>H448</f>
        <v>10000</v>
      </c>
      <c r="I447" s="22">
        <f>I448</f>
        <v>10000</v>
      </c>
      <c r="J447" s="201">
        <f t="shared" si="51"/>
        <v>100</v>
      </c>
    </row>
    <row r="448" spans="2:10" x14ac:dyDescent="0.2">
      <c r="B448" s="29">
        <f t="shared" si="52"/>
        <v>12</v>
      </c>
      <c r="C448" s="4"/>
      <c r="D448" s="4"/>
      <c r="E448" s="4">
        <v>321</v>
      </c>
      <c r="F448" s="4"/>
      <c r="G448" s="4" t="s">
        <v>700</v>
      </c>
      <c r="H448" s="23">
        <v>10000</v>
      </c>
      <c r="I448" s="23">
        <v>10000</v>
      </c>
      <c r="J448" s="201">
        <f t="shared" si="51"/>
        <v>100</v>
      </c>
    </row>
    <row r="449" spans="2:10" x14ac:dyDescent="0.2">
      <c r="B449" s="29">
        <f t="shared" si="52"/>
        <v>13</v>
      </c>
      <c r="C449" s="3"/>
      <c r="D449" s="3">
        <v>322</v>
      </c>
      <c r="E449" s="3"/>
      <c r="F449" s="3"/>
      <c r="G449" s="3" t="s">
        <v>190</v>
      </c>
      <c r="H449" s="22">
        <f>H450</f>
        <v>357205</v>
      </c>
      <c r="I449" s="22">
        <f>I450</f>
        <v>352242</v>
      </c>
      <c r="J449" s="201">
        <f t="shared" si="51"/>
        <v>98.610601755294581</v>
      </c>
    </row>
    <row r="450" spans="2:10" x14ac:dyDescent="0.2">
      <c r="B450" s="29">
        <f t="shared" si="52"/>
        <v>14</v>
      </c>
      <c r="C450" s="4"/>
      <c r="D450" s="4"/>
      <c r="E450" s="4">
        <v>322001</v>
      </c>
      <c r="F450" s="4"/>
      <c r="G450" s="4" t="s">
        <v>61</v>
      </c>
      <c r="H450" s="23">
        <f>SUM(H451:H453)</f>
        <v>357205</v>
      </c>
      <c r="I450" s="23">
        <f>SUM(I451:I453)</f>
        <v>352242</v>
      </c>
      <c r="J450" s="201">
        <f t="shared" si="51"/>
        <v>98.610601755294581</v>
      </c>
    </row>
    <row r="451" spans="2:10" x14ac:dyDescent="0.2">
      <c r="B451" s="29">
        <f t="shared" si="52"/>
        <v>15</v>
      </c>
      <c r="C451" s="5"/>
      <c r="D451" s="5"/>
      <c r="E451" s="5"/>
      <c r="F451" s="5" t="s">
        <v>71</v>
      </c>
      <c r="G451" s="5" t="s">
        <v>629</v>
      </c>
      <c r="H451" s="24">
        <v>34000</v>
      </c>
      <c r="I451" s="24">
        <v>34000</v>
      </c>
      <c r="J451" s="201">
        <f t="shared" si="51"/>
        <v>100</v>
      </c>
    </row>
    <row r="452" spans="2:10" x14ac:dyDescent="0.2">
      <c r="B452" s="29">
        <f t="shared" si="52"/>
        <v>16</v>
      </c>
      <c r="C452" s="154"/>
      <c r="D452" s="154"/>
      <c r="E452" s="154"/>
      <c r="F452" s="154"/>
      <c r="G452" s="5" t="s">
        <v>648</v>
      </c>
      <c r="H452" s="24">
        <v>100000</v>
      </c>
      <c r="I452" s="24">
        <v>100000</v>
      </c>
      <c r="J452" s="201">
        <f t="shared" si="51"/>
        <v>100</v>
      </c>
    </row>
    <row r="453" spans="2:10" x14ac:dyDescent="0.2">
      <c r="B453" s="29">
        <f t="shared" si="52"/>
        <v>17</v>
      </c>
      <c r="C453" s="154"/>
      <c r="D453" s="154"/>
      <c r="E453" s="154"/>
      <c r="F453" s="154"/>
      <c r="G453" s="154" t="s">
        <v>701</v>
      </c>
      <c r="H453" s="169">
        <f>155600+67605</f>
        <v>223205</v>
      </c>
      <c r="I453" s="169">
        <v>218242</v>
      </c>
      <c r="J453" s="201">
        <f t="shared" si="51"/>
        <v>97.77648350171367</v>
      </c>
    </row>
    <row r="454" spans="2:10" ht="15" x14ac:dyDescent="0.2">
      <c r="B454" s="29">
        <f t="shared" si="52"/>
        <v>18</v>
      </c>
      <c r="C454" s="1"/>
      <c r="D454" s="1"/>
      <c r="E454" s="1"/>
      <c r="F454" s="1"/>
      <c r="G454" s="1" t="s">
        <v>285</v>
      </c>
      <c r="H454" s="25">
        <f>H444+H437</f>
        <v>1250997</v>
      </c>
      <c r="I454" s="25">
        <f>I444+I437</f>
        <v>1240927</v>
      </c>
      <c r="J454" s="201">
        <f t="shared" si="51"/>
        <v>99.195042034473303</v>
      </c>
    </row>
    <row r="455" spans="2:10" x14ac:dyDescent="0.2">
      <c r="I455" s="18"/>
    </row>
    <row r="456" spans="2:10" ht="15" customHeight="1" x14ac:dyDescent="0.2">
      <c r="B456" s="228" t="s">
        <v>286</v>
      </c>
      <c r="C456" s="229"/>
      <c r="D456" s="229"/>
      <c r="E456" s="229"/>
      <c r="F456" s="229"/>
      <c r="G456" s="230"/>
      <c r="H456" s="225" t="s">
        <v>574</v>
      </c>
      <c r="I456" s="222" t="s">
        <v>764</v>
      </c>
      <c r="J456" s="245" t="s">
        <v>763</v>
      </c>
    </row>
    <row r="457" spans="2:10" ht="21" customHeight="1" x14ac:dyDescent="0.2">
      <c r="B457" s="231"/>
      <c r="C457" s="232"/>
      <c r="D457" s="232"/>
      <c r="E457" s="232"/>
      <c r="F457" s="232"/>
      <c r="G457" s="233"/>
      <c r="H457" s="226"/>
      <c r="I457" s="223"/>
      <c r="J457" s="246"/>
    </row>
    <row r="458" spans="2:10" ht="16.5" customHeight="1" x14ac:dyDescent="0.2">
      <c r="B458" s="234" t="s">
        <v>111</v>
      </c>
      <c r="C458" s="236" t="s">
        <v>113</v>
      </c>
      <c r="D458" s="238" t="s">
        <v>114</v>
      </c>
      <c r="E458" s="238" t="s">
        <v>116</v>
      </c>
      <c r="F458" s="238" t="s">
        <v>117</v>
      </c>
      <c r="G458" s="243" t="s">
        <v>115</v>
      </c>
      <c r="H458" s="226"/>
      <c r="I458" s="223"/>
      <c r="J458" s="246"/>
    </row>
    <row r="459" spans="2:10" ht="22.5" customHeight="1" thickBot="1" x14ac:dyDescent="0.25">
      <c r="B459" s="235"/>
      <c r="C459" s="237"/>
      <c r="D459" s="239"/>
      <c r="E459" s="239"/>
      <c r="F459" s="239"/>
      <c r="G459" s="244"/>
      <c r="H459" s="227"/>
      <c r="I459" s="224"/>
      <c r="J459" s="247"/>
    </row>
    <row r="460" spans="2:10" ht="15.75" thickTop="1" x14ac:dyDescent="0.2">
      <c r="B460" s="30">
        <v>1</v>
      </c>
      <c r="C460" s="1"/>
      <c r="D460" s="1"/>
      <c r="E460" s="1"/>
      <c r="F460" s="1"/>
      <c r="G460" s="1" t="s">
        <v>118</v>
      </c>
      <c r="H460" s="25">
        <f>H431</f>
        <v>34985371</v>
      </c>
      <c r="I460" s="25">
        <f>I431</f>
        <v>37362428</v>
      </c>
      <c r="J460" s="201">
        <f t="shared" ref="J460:J462" si="53">I460/H460*100</f>
        <v>106.79443130673103</v>
      </c>
    </row>
    <row r="461" spans="2:10" ht="15.75" thickBot="1" x14ac:dyDescent="0.25">
      <c r="B461" s="30">
        <v>2</v>
      </c>
      <c r="C461" s="1"/>
      <c r="D461" s="1"/>
      <c r="E461" s="1"/>
      <c r="F461" s="1"/>
      <c r="G461" s="1" t="s">
        <v>285</v>
      </c>
      <c r="H461" s="25">
        <f>H454</f>
        <v>1250997</v>
      </c>
      <c r="I461" s="25">
        <f>I454</f>
        <v>1240927</v>
      </c>
      <c r="J461" s="201">
        <f t="shared" si="53"/>
        <v>99.195042034473303</v>
      </c>
    </row>
    <row r="462" spans="2:10" ht="15.75" thickTop="1" x14ac:dyDescent="0.2">
      <c r="B462" s="31">
        <v>3</v>
      </c>
      <c r="C462" s="10"/>
      <c r="D462" s="10"/>
      <c r="E462" s="10"/>
      <c r="F462" s="10"/>
      <c r="G462" s="10" t="s">
        <v>286</v>
      </c>
      <c r="H462" s="26">
        <f>H431+H454</f>
        <v>36236368</v>
      </c>
      <c r="I462" s="26">
        <f>I431+I454</f>
        <v>38603355</v>
      </c>
      <c r="J462" s="201">
        <f t="shared" si="53"/>
        <v>106.53207573121016</v>
      </c>
    </row>
    <row r="463" spans="2:10" x14ac:dyDescent="0.2">
      <c r="I463" s="18"/>
    </row>
    <row r="464" spans="2:10" x14ac:dyDescent="0.2">
      <c r="I464" s="18"/>
    </row>
  </sheetData>
  <mergeCells count="34">
    <mergeCell ref="A7:A15"/>
    <mergeCell ref="A50:A51"/>
    <mergeCell ref="B433:G434"/>
    <mergeCell ref="B435:B436"/>
    <mergeCell ref="C435:C436"/>
    <mergeCell ref="D435:D436"/>
    <mergeCell ref="G435:G436"/>
    <mergeCell ref="B4:G5"/>
    <mergeCell ref="I456:I459"/>
    <mergeCell ref="J4:J7"/>
    <mergeCell ref="J433:J436"/>
    <mergeCell ref="J456:J459"/>
    <mergeCell ref="F6:F7"/>
    <mergeCell ref="G6:G7"/>
    <mergeCell ref="B6:B7"/>
    <mergeCell ref="C6:C7"/>
    <mergeCell ref="D6:D7"/>
    <mergeCell ref="E6:E7"/>
    <mergeCell ref="B3:J3"/>
    <mergeCell ref="I4:I7"/>
    <mergeCell ref="I433:I436"/>
    <mergeCell ref="H456:H459"/>
    <mergeCell ref="H4:H7"/>
    <mergeCell ref="H433:H436"/>
    <mergeCell ref="B456:G457"/>
    <mergeCell ref="B458:B459"/>
    <mergeCell ref="C458:C459"/>
    <mergeCell ref="D458:D459"/>
    <mergeCell ref="E458:E459"/>
    <mergeCell ref="F77:F87"/>
    <mergeCell ref="F458:F459"/>
    <mergeCell ref="G458:G459"/>
    <mergeCell ref="E435:E436"/>
    <mergeCell ref="F435:F436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67"/>
  <sheetViews>
    <sheetView zoomScale="90" zoomScaleNormal="90" workbookViewId="0"/>
  </sheetViews>
  <sheetFormatPr defaultRowHeight="12.75" x14ac:dyDescent="0.2"/>
  <cols>
    <col min="2" max="2" width="4.42578125" customWidth="1"/>
    <col min="3" max="3" width="3.5703125" customWidth="1"/>
    <col min="4" max="4" width="4.85546875" customWidth="1"/>
    <col min="5" max="5" width="5.7109375" customWidth="1"/>
    <col min="6" max="6" width="5.28515625" customWidth="1"/>
    <col min="7" max="7" width="4.28515625" customWidth="1"/>
    <col min="8" max="8" width="40.42578125" customWidth="1"/>
    <col min="9" max="9" width="12.85546875" customWidth="1"/>
    <col min="10" max="10" width="11.140625" customWidth="1"/>
    <col min="11" max="11" width="6.85546875" customWidth="1"/>
    <col min="12" max="12" width="10.7109375" customWidth="1"/>
    <col min="13" max="13" width="11.140625" customWidth="1"/>
    <col min="14" max="14" width="6.140625" style="209" customWidth="1"/>
    <col min="15" max="15" width="10.85546875" customWidth="1"/>
    <col min="16" max="16" width="11.28515625" customWidth="1"/>
    <col min="17" max="17" width="6.7109375" customWidth="1"/>
  </cols>
  <sheetData>
    <row r="3" spans="2:17" ht="27" x14ac:dyDescent="0.35">
      <c r="B3" s="264" t="s">
        <v>304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2:17" x14ac:dyDescent="0.2">
      <c r="B4" s="271" t="s">
        <v>280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5"/>
      <c r="O4" s="261" t="s">
        <v>575</v>
      </c>
      <c r="P4" s="250" t="s">
        <v>768</v>
      </c>
      <c r="Q4" s="251" t="s">
        <v>765</v>
      </c>
    </row>
    <row r="5" spans="2:17" x14ac:dyDescent="0.2">
      <c r="B5" s="266" t="s">
        <v>111</v>
      </c>
      <c r="C5" s="255" t="s">
        <v>119</v>
      </c>
      <c r="D5" s="255" t="s">
        <v>120</v>
      </c>
      <c r="E5" s="258" t="s">
        <v>124</v>
      </c>
      <c r="F5" s="255" t="s">
        <v>121</v>
      </c>
      <c r="G5" s="255" t="s">
        <v>122</v>
      </c>
      <c r="H5" s="273" t="s">
        <v>123</v>
      </c>
      <c r="I5" s="261" t="s">
        <v>572</v>
      </c>
      <c r="J5" s="250" t="s">
        <v>766</v>
      </c>
      <c r="K5" s="251" t="s">
        <v>765</v>
      </c>
      <c r="L5" s="261" t="s">
        <v>573</v>
      </c>
      <c r="M5" s="250" t="s">
        <v>767</v>
      </c>
      <c r="N5" s="251" t="s">
        <v>765</v>
      </c>
      <c r="O5" s="262"/>
      <c r="P5" s="250"/>
      <c r="Q5" s="251"/>
    </row>
    <row r="6" spans="2:17" x14ac:dyDescent="0.2">
      <c r="B6" s="266"/>
      <c r="C6" s="255"/>
      <c r="D6" s="255"/>
      <c r="E6" s="259"/>
      <c r="F6" s="255"/>
      <c r="G6" s="255"/>
      <c r="H6" s="273"/>
      <c r="I6" s="262"/>
      <c r="J6" s="250"/>
      <c r="K6" s="251"/>
      <c r="L6" s="262"/>
      <c r="M6" s="250"/>
      <c r="N6" s="251"/>
      <c r="O6" s="262"/>
      <c r="P6" s="250"/>
      <c r="Q6" s="251"/>
    </row>
    <row r="7" spans="2:17" x14ac:dyDescent="0.2">
      <c r="B7" s="266"/>
      <c r="C7" s="255"/>
      <c r="D7" s="255"/>
      <c r="E7" s="259"/>
      <c r="F7" s="255"/>
      <c r="G7" s="255"/>
      <c r="H7" s="273"/>
      <c r="I7" s="262"/>
      <c r="J7" s="250"/>
      <c r="K7" s="251"/>
      <c r="L7" s="262"/>
      <c r="M7" s="250"/>
      <c r="N7" s="251"/>
      <c r="O7" s="262"/>
      <c r="P7" s="250"/>
      <c r="Q7" s="251"/>
    </row>
    <row r="8" spans="2:17" ht="13.5" thickBot="1" x14ac:dyDescent="0.25">
      <c r="B8" s="267"/>
      <c r="C8" s="256"/>
      <c r="D8" s="256"/>
      <c r="E8" s="260"/>
      <c r="F8" s="256"/>
      <c r="G8" s="256"/>
      <c r="H8" s="274"/>
      <c r="I8" s="263"/>
      <c r="J8" s="250"/>
      <c r="K8" s="251"/>
      <c r="L8" s="263"/>
      <c r="M8" s="250"/>
      <c r="N8" s="251"/>
      <c r="O8" s="263"/>
      <c r="P8" s="250"/>
      <c r="Q8" s="251"/>
    </row>
    <row r="9" spans="2:17" ht="16.5" thickTop="1" x14ac:dyDescent="0.2">
      <c r="B9" s="72">
        <f>B8+1</f>
        <v>1</v>
      </c>
      <c r="C9" s="268" t="s">
        <v>304</v>
      </c>
      <c r="D9" s="269"/>
      <c r="E9" s="269"/>
      <c r="F9" s="269"/>
      <c r="G9" s="269"/>
      <c r="H9" s="270"/>
      <c r="I9" s="44">
        <f>I64+I42+I22+I10</f>
        <v>386630</v>
      </c>
      <c r="J9" s="44">
        <f>J64+J42+J22+J10</f>
        <v>362471</v>
      </c>
      <c r="K9" s="198">
        <f t="shared" ref="K9:K47" si="0">J9/I9*100</f>
        <v>93.751390218037926</v>
      </c>
      <c r="L9" s="44">
        <f>L64+L42+L22+L10</f>
        <v>28620</v>
      </c>
      <c r="M9" s="44">
        <f>M64+M42+M22+M10</f>
        <v>23310</v>
      </c>
      <c r="N9" s="210">
        <f>M9/L9*100</f>
        <v>81.44654088050315</v>
      </c>
      <c r="O9" s="44">
        <f t="shared" ref="O9:O54" si="1">I9+L9</f>
        <v>415250</v>
      </c>
      <c r="P9" s="44">
        <f t="shared" ref="P9:P54" si="2">J9+M9</f>
        <v>385781</v>
      </c>
      <c r="Q9" s="203">
        <f t="shared" ref="Q9:Q48" si="3">P9/O9*100</f>
        <v>92.903311258278137</v>
      </c>
    </row>
    <row r="10" spans="2:17" ht="15" x14ac:dyDescent="0.2">
      <c r="B10" s="72">
        <f>B9+1</f>
        <v>2</v>
      </c>
      <c r="C10" s="179">
        <v>1</v>
      </c>
      <c r="D10" s="257" t="s">
        <v>13</v>
      </c>
      <c r="E10" s="253"/>
      <c r="F10" s="253"/>
      <c r="G10" s="253"/>
      <c r="H10" s="254"/>
      <c r="I10" s="45">
        <f>I11</f>
        <v>121450</v>
      </c>
      <c r="J10" s="45">
        <f>J11</f>
        <v>119650</v>
      </c>
      <c r="K10" s="198">
        <f t="shared" si="0"/>
        <v>98.517908604363939</v>
      </c>
      <c r="L10" s="45">
        <f>L11</f>
        <v>0</v>
      </c>
      <c r="M10" s="45">
        <f>M11</f>
        <v>0</v>
      </c>
      <c r="N10" s="212"/>
      <c r="O10" s="45">
        <f t="shared" si="1"/>
        <v>121450</v>
      </c>
      <c r="P10" s="45">
        <f t="shared" si="2"/>
        <v>119650</v>
      </c>
      <c r="Q10" s="203">
        <f t="shared" si="3"/>
        <v>98.517908604363939</v>
      </c>
    </row>
    <row r="11" spans="2:17" x14ac:dyDescent="0.2">
      <c r="B11" s="72">
        <f t="shared" ref="B11:B58" si="4">B10+1</f>
        <v>3</v>
      </c>
      <c r="C11" s="12"/>
      <c r="D11" s="12"/>
      <c r="E11" s="12"/>
      <c r="F11" s="52" t="s">
        <v>74</v>
      </c>
      <c r="G11" s="12">
        <v>640</v>
      </c>
      <c r="H11" s="12" t="s">
        <v>134</v>
      </c>
      <c r="I11" s="49">
        <f>SUM(I12:I21)</f>
        <v>121450</v>
      </c>
      <c r="J11" s="49">
        <f>SUM(J12:J21)</f>
        <v>119650</v>
      </c>
      <c r="K11" s="198">
        <f t="shared" si="0"/>
        <v>98.517908604363939</v>
      </c>
      <c r="L11" s="49"/>
      <c r="M11" s="49"/>
      <c r="N11" s="207"/>
      <c r="O11" s="49">
        <f t="shared" si="1"/>
        <v>121450</v>
      </c>
      <c r="P11" s="49">
        <f t="shared" si="2"/>
        <v>119650</v>
      </c>
      <c r="Q11" s="203">
        <f t="shared" si="3"/>
        <v>98.517908604363939</v>
      </c>
    </row>
    <row r="12" spans="2:17" x14ac:dyDescent="0.2">
      <c r="B12" s="72">
        <f t="shared" si="4"/>
        <v>4</v>
      </c>
      <c r="C12" s="12"/>
      <c r="D12" s="57"/>
      <c r="E12" s="12"/>
      <c r="F12" s="52"/>
      <c r="G12" s="12"/>
      <c r="H12" s="60" t="s">
        <v>233</v>
      </c>
      <c r="I12" s="58">
        <f>50000+20000-10000</f>
        <v>60000</v>
      </c>
      <c r="J12" s="58">
        <v>58200</v>
      </c>
      <c r="K12" s="198">
        <f t="shared" si="0"/>
        <v>97</v>
      </c>
      <c r="L12" s="58"/>
      <c r="M12" s="58"/>
      <c r="N12" s="207"/>
      <c r="O12" s="65">
        <f t="shared" si="1"/>
        <v>60000</v>
      </c>
      <c r="P12" s="65">
        <f t="shared" si="2"/>
        <v>58200</v>
      </c>
      <c r="Q12" s="203">
        <f t="shared" si="3"/>
        <v>97</v>
      </c>
    </row>
    <row r="13" spans="2:17" x14ac:dyDescent="0.2">
      <c r="B13" s="72">
        <f t="shared" si="4"/>
        <v>5</v>
      </c>
      <c r="C13" s="12"/>
      <c r="D13" s="57"/>
      <c r="E13" s="12"/>
      <c r="F13" s="52"/>
      <c r="G13" s="12"/>
      <c r="H13" s="60" t="s">
        <v>338</v>
      </c>
      <c r="I13" s="58">
        <v>20000</v>
      </c>
      <c r="J13" s="58">
        <v>20000</v>
      </c>
      <c r="K13" s="198">
        <f t="shared" si="0"/>
        <v>100</v>
      </c>
      <c r="L13" s="58"/>
      <c r="M13" s="58"/>
      <c r="N13" s="207"/>
      <c r="O13" s="65">
        <f t="shared" si="1"/>
        <v>20000</v>
      </c>
      <c r="P13" s="65">
        <f t="shared" si="2"/>
        <v>20000</v>
      </c>
      <c r="Q13" s="203">
        <f t="shared" si="3"/>
        <v>100</v>
      </c>
    </row>
    <row r="14" spans="2:17" ht="16.5" customHeight="1" x14ac:dyDescent="0.2">
      <c r="B14" s="72">
        <f t="shared" si="4"/>
        <v>6</v>
      </c>
      <c r="C14" s="66"/>
      <c r="D14" s="67"/>
      <c r="E14" s="66"/>
      <c r="F14" s="69"/>
      <c r="G14" s="66"/>
      <c r="H14" s="79" t="s">
        <v>540</v>
      </c>
      <c r="I14" s="65">
        <v>10000</v>
      </c>
      <c r="J14" s="65">
        <v>10000</v>
      </c>
      <c r="K14" s="198">
        <f t="shared" si="0"/>
        <v>100</v>
      </c>
      <c r="L14" s="65"/>
      <c r="M14" s="65"/>
      <c r="N14" s="208"/>
      <c r="O14" s="65">
        <f t="shared" si="1"/>
        <v>10000</v>
      </c>
      <c r="P14" s="65">
        <f t="shared" si="2"/>
        <v>10000</v>
      </c>
      <c r="Q14" s="203">
        <f t="shared" si="3"/>
        <v>100</v>
      </c>
    </row>
    <row r="15" spans="2:17" x14ac:dyDescent="0.2">
      <c r="B15" s="72">
        <f t="shared" si="4"/>
        <v>7</v>
      </c>
      <c r="C15" s="12"/>
      <c r="D15" s="57"/>
      <c r="E15" s="12"/>
      <c r="F15" s="52"/>
      <c r="G15" s="12"/>
      <c r="H15" s="59" t="s">
        <v>479</v>
      </c>
      <c r="I15" s="58">
        <v>4000</v>
      </c>
      <c r="J15" s="58">
        <v>4000</v>
      </c>
      <c r="K15" s="198">
        <f t="shared" si="0"/>
        <v>100</v>
      </c>
      <c r="L15" s="58"/>
      <c r="M15" s="58"/>
      <c r="N15" s="207"/>
      <c r="O15" s="65">
        <f t="shared" si="1"/>
        <v>4000</v>
      </c>
      <c r="P15" s="65">
        <f t="shared" si="2"/>
        <v>4000</v>
      </c>
      <c r="Q15" s="203">
        <f t="shared" si="3"/>
        <v>100</v>
      </c>
    </row>
    <row r="16" spans="2:17" x14ac:dyDescent="0.2">
      <c r="B16" s="72">
        <f t="shared" si="4"/>
        <v>8</v>
      </c>
      <c r="C16" s="12"/>
      <c r="D16" s="57"/>
      <c r="E16" s="12"/>
      <c r="F16" s="52"/>
      <c r="G16" s="12"/>
      <c r="H16" s="59" t="s">
        <v>599</v>
      </c>
      <c r="I16" s="58">
        <f>5000+5000</f>
        <v>10000</v>
      </c>
      <c r="J16" s="58">
        <v>10000</v>
      </c>
      <c r="K16" s="198">
        <f t="shared" si="0"/>
        <v>100</v>
      </c>
      <c r="L16" s="58"/>
      <c r="M16" s="58"/>
      <c r="N16" s="207"/>
      <c r="O16" s="65">
        <f t="shared" si="1"/>
        <v>10000</v>
      </c>
      <c r="P16" s="65">
        <f t="shared" si="2"/>
        <v>10000</v>
      </c>
      <c r="Q16" s="203">
        <f t="shared" si="3"/>
        <v>100</v>
      </c>
    </row>
    <row r="17" spans="2:17" x14ac:dyDescent="0.2">
      <c r="B17" s="72">
        <f t="shared" si="4"/>
        <v>9</v>
      </c>
      <c r="C17" s="12"/>
      <c r="D17" s="57"/>
      <c r="E17" s="12"/>
      <c r="F17" s="52"/>
      <c r="G17" s="12"/>
      <c r="H17" s="59" t="s">
        <v>600</v>
      </c>
      <c r="I17" s="58">
        <v>5000</v>
      </c>
      <c r="J17" s="58">
        <v>5000</v>
      </c>
      <c r="K17" s="198">
        <f t="shared" si="0"/>
        <v>100</v>
      </c>
      <c r="L17" s="58"/>
      <c r="M17" s="58"/>
      <c r="N17" s="207"/>
      <c r="O17" s="65">
        <f t="shared" si="1"/>
        <v>5000</v>
      </c>
      <c r="P17" s="65">
        <f t="shared" si="2"/>
        <v>5000</v>
      </c>
      <c r="Q17" s="203">
        <f t="shared" si="3"/>
        <v>100</v>
      </c>
    </row>
    <row r="18" spans="2:17" x14ac:dyDescent="0.2">
      <c r="B18" s="72">
        <f t="shared" si="4"/>
        <v>10</v>
      </c>
      <c r="C18" s="12"/>
      <c r="D18" s="57"/>
      <c r="E18" s="12"/>
      <c r="F18" s="52"/>
      <c r="G18" s="12"/>
      <c r="H18" s="59" t="s">
        <v>695</v>
      </c>
      <c r="I18" s="58">
        <v>4000</v>
      </c>
      <c r="J18" s="58">
        <v>4000</v>
      </c>
      <c r="K18" s="198">
        <f t="shared" si="0"/>
        <v>100</v>
      </c>
      <c r="L18" s="58"/>
      <c r="M18" s="58"/>
      <c r="N18" s="207"/>
      <c r="O18" s="65">
        <f t="shared" si="1"/>
        <v>4000</v>
      </c>
      <c r="P18" s="65">
        <f t="shared" si="2"/>
        <v>4000</v>
      </c>
      <c r="Q18" s="203">
        <f t="shared" si="3"/>
        <v>100</v>
      </c>
    </row>
    <row r="19" spans="2:17" x14ac:dyDescent="0.2">
      <c r="B19" s="72">
        <f t="shared" si="4"/>
        <v>11</v>
      </c>
      <c r="C19" s="12"/>
      <c r="D19" s="57"/>
      <c r="E19" s="12"/>
      <c r="F19" s="52"/>
      <c r="G19" s="12"/>
      <c r="H19" s="59" t="s">
        <v>697</v>
      </c>
      <c r="I19" s="58">
        <v>3000</v>
      </c>
      <c r="J19" s="58">
        <v>3000</v>
      </c>
      <c r="K19" s="198">
        <f t="shared" si="0"/>
        <v>100</v>
      </c>
      <c r="L19" s="58"/>
      <c r="M19" s="58"/>
      <c r="N19" s="207"/>
      <c r="O19" s="65">
        <f t="shared" si="1"/>
        <v>3000</v>
      </c>
      <c r="P19" s="65">
        <f t="shared" si="2"/>
        <v>3000</v>
      </c>
      <c r="Q19" s="203">
        <f t="shared" si="3"/>
        <v>100</v>
      </c>
    </row>
    <row r="20" spans="2:17" ht="24" x14ac:dyDescent="0.2">
      <c r="B20" s="72">
        <f t="shared" si="4"/>
        <v>12</v>
      </c>
      <c r="C20" s="4"/>
      <c r="D20" s="4"/>
      <c r="E20" s="4"/>
      <c r="F20" s="64"/>
      <c r="G20" s="12"/>
      <c r="H20" s="172" t="s">
        <v>713</v>
      </c>
      <c r="I20" s="58">
        <v>2000</v>
      </c>
      <c r="J20" s="58">
        <v>2000</v>
      </c>
      <c r="K20" s="198">
        <f t="shared" si="0"/>
        <v>100</v>
      </c>
      <c r="L20" s="49"/>
      <c r="M20" s="49"/>
      <c r="N20" s="207"/>
      <c r="O20" s="65">
        <f t="shared" si="1"/>
        <v>2000</v>
      </c>
      <c r="P20" s="65">
        <f t="shared" si="2"/>
        <v>2000</v>
      </c>
      <c r="Q20" s="203">
        <f t="shared" si="3"/>
        <v>100</v>
      </c>
    </row>
    <row r="21" spans="2:17" x14ac:dyDescent="0.2">
      <c r="B21" s="72">
        <f t="shared" si="4"/>
        <v>13</v>
      </c>
      <c r="C21" s="4"/>
      <c r="D21" s="4"/>
      <c r="E21" s="4"/>
      <c r="F21" s="64"/>
      <c r="G21" s="12"/>
      <c r="H21" s="172" t="s">
        <v>752</v>
      </c>
      <c r="I21" s="58">
        <v>3450</v>
      </c>
      <c r="J21" s="58">
        <v>3450</v>
      </c>
      <c r="K21" s="198">
        <f t="shared" si="0"/>
        <v>100</v>
      </c>
      <c r="L21" s="49"/>
      <c r="M21" s="49"/>
      <c r="N21" s="207"/>
      <c r="O21" s="65">
        <f t="shared" si="1"/>
        <v>3450</v>
      </c>
      <c r="P21" s="65">
        <f t="shared" si="2"/>
        <v>3450</v>
      </c>
      <c r="Q21" s="203">
        <f t="shared" si="3"/>
        <v>100</v>
      </c>
    </row>
    <row r="22" spans="2:17" ht="15" x14ac:dyDescent="0.2">
      <c r="B22" s="72">
        <f t="shared" si="4"/>
        <v>14</v>
      </c>
      <c r="C22" s="179">
        <v>2</v>
      </c>
      <c r="D22" s="257" t="s">
        <v>179</v>
      </c>
      <c r="E22" s="253"/>
      <c r="F22" s="253"/>
      <c r="G22" s="253"/>
      <c r="H22" s="254"/>
      <c r="I22" s="45">
        <f>I23</f>
        <v>100400</v>
      </c>
      <c r="J22" s="45">
        <f>J23</f>
        <v>91202</v>
      </c>
      <c r="K22" s="198">
        <f t="shared" si="0"/>
        <v>90.838645418326692</v>
      </c>
      <c r="L22" s="45">
        <v>0</v>
      </c>
      <c r="M22" s="45"/>
      <c r="N22" s="212"/>
      <c r="O22" s="45">
        <f t="shared" si="1"/>
        <v>100400</v>
      </c>
      <c r="P22" s="45">
        <f t="shared" si="2"/>
        <v>91202</v>
      </c>
      <c r="Q22" s="203">
        <f t="shared" si="3"/>
        <v>90.838645418326692</v>
      </c>
    </row>
    <row r="23" spans="2:17" x14ac:dyDescent="0.2">
      <c r="B23" s="72">
        <f t="shared" si="4"/>
        <v>15</v>
      </c>
      <c r="C23" s="12"/>
      <c r="D23" s="12"/>
      <c r="E23" s="12"/>
      <c r="F23" s="52" t="s">
        <v>74</v>
      </c>
      <c r="G23" s="12">
        <v>630</v>
      </c>
      <c r="H23" s="12" t="s">
        <v>127</v>
      </c>
      <c r="I23" s="49">
        <f>I26+I24+I25</f>
        <v>100400</v>
      </c>
      <c r="J23" s="49">
        <f>J26+J24+J25</f>
        <v>91202</v>
      </c>
      <c r="K23" s="198">
        <f t="shared" si="0"/>
        <v>90.838645418326692</v>
      </c>
      <c r="L23" s="49">
        <f>L26+L24</f>
        <v>0</v>
      </c>
      <c r="M23" s="49">
        <f>M26+M24</f>
        <v>0</v>
      </c>
      <c r="N23" s="207"/>
      <c r="O23" s="49">
        <f t="shared" si="1"/>
        <v>100400</v>
      </c>
      <c r="P23" s="49">
        <f t="shared" si="2"/>
        <v>91202</v>
      </c>
      <c r="Q23" s="203">
        <f t="shared" si="3"/>
        <v>90.838645418326692</v>
      </c>
    </row>
    <row r="24" spans="2:17" x14ac:dyDescent="0.2">
      <c r="B24" s="72">
        <f t="shared" si="4"/>
        <v>16</v>
      </c>
      <c r="C24" s="4"/>
      <c r="D24" s="4"/>
      <c r="E24" s="4"/>
      <c r="F24" s="53" t="s">
        <v>74</v>
      </c>
      <c r="G24" s="4">
        <v>633</v>
      </c>
      <c r="H24" s="4" t="s">
        <v>131</v>
      </c>
      <c r="I24" s="23">
        <f>5100-1500</f>
        <v>3600</v>
      </c>
      <c r="J24" s="23">
        <f>1482+1349</f>
        <v>2831</v>
      </c>
      <c r="K24" s="198">
        <f t="shared" si="0"/>
        <v>78.638888888888886</v>
      </c>
      <c r="L24" s="23"/>
      <c r="M24" s="23"/>
      <c r="N24" s="207"/>
      <c r="O24" s="23">
        <f t="shared" si="1"/>
        <v>3600</v>
      </c>
      <c r="P24" s="23">
        <f t="shared" si="2"/>
        <v>2831</v>
      </c>
      <c r="Q24" s="203">
        <f t="shared" si="3"/>
        <v>78.638888888888886</v>
      </c>
    </row>
    <row r="25" spans="2:17" x14ac:dyDescent="0.2">
      <c r="B25" s="72">
        <f t="shared" si="4"/>
        <v>17</v>
      </c>
      <c r="C25" s="4"/>
      <c r="D25" s="4"/>
      <c r="E25" s="4"/>
      <c r="F25" s="53"/>
      <c r="G25" s="4">
        <v>633</v>
      </c>
      <c r="H25" s="4" t="s">
        <v>340</v>
      </c>
      <c r="I25" s="58">
        <v>600</v>
      </c>
      <c r="J25" s="58">
        <v>600</v>
      </c>
      <c r="K25" s="198">
        <f t="shared" si="0"/>
        <v>100</v>
      </c>
      <c r="L25" s="23"/>
      <c r="M25" s="23"/>
      <c r="N25" s="207"/>
      <c r="O25" s="23">
        <f t="shared" si="1"/>
        <v>600</v>
      </c>
      <c r="P25" s="23">
        <f t="shared" si="2"/>
        <v>600</v>
      </c>
      <c r="Q25" s="203">
        <f t="shared" si="3"/>
        <v>100</v>
      </c>
    </row>
    <row r="26" spans="2:17" x14ac:dyDescent="0.2">
      <c r="B26" s="72">
        <f t="shared" si="4"/>
        <v>18</v>
      </c>
      <c r="C26" s="4"/>
      <c r="D26" s="4"/>
      <c r="E26" s="4"/>
      <c r="F26" s="53" t="s">
        <v>74</v>
      </c>
      <c r="G26" s="4">
        <v>637</v>
      </c>
      <c r="H26" s="4" t="s">
        <v>128</v>
      </c>
      <c r="I26" s="23">
        <f>SUM(I27:I41)</f>
        <v>96200</v>
      </c>
      <c r="J26" s="23">
        <f>SUM(J27:J41)</f>
        <v>87771</v>
      </c>
      <c r="K26" s="198">
        <f t="shared" si="0"/>
        <v>91.238045738045741</v>
      </c>
      <c r="L26" s="23"/>
      <c r="M26" s="23"/>
      <c r="N26" s="207"/>
      <c r="O26" s="23">
        <f t="shared" si="1"/>
        <v>96200</v>
      </c>
      <c r="P26" s="23">
        <f t="shared" si="2"/>
        <v>87771</v>
      </c>
      <c r="Q26" s="203">
        <f t="shared" si="3"/>
        <v>91.238045738045741</v>
      </c>
    </row>
    <row r="27" spans="2:17" x14ac:dyDescent="0.2">
      <c r="B27" s="72">
        <f t="shared" si="4"/>
        <v>19</v>
      </c>
      <c r="C27" s="4"/>
      <c r="D27" s="4"/>
      <c r="E27" s="4"/>
      <c r="F27" s="53"/>
      <c r="G27" s="4"/>
      <c r="H27" s="4" t="s">
        <v>232</v>
      </c>
      <c r="I27" s="58">
        <v>10000</v>
      </c>
      <c r="J27" s="58">
        <f>9620+360</f>
        <v>9980</v>
      </c>
      <c r="K27" s="198">
        <f t="shared" si="0"/>
        <v>99.8</v>
      </c>
      <c r="L27" s="23"/>
      <c r="M27" s="23"/>
      <c r="N27" s="207"/>
      <c r="O27" s="23">
        <f t="shared" si="1"/>
        <v>10000</v>
      </c>
      <c r="P27" s="23">
        <f t="shared" si="2"/>
        <v>9980</v>
      </c>
      <c r="Q27" s="203">
        <f t="shared" si="3"/>
        <v>99.8</v>
      </c>
    </row>
    <row r="28" spans="2:17" x14ac:dyDescent="0.2">
      <c r="B28" s="72">
        <f t="shared" si="4"/>
        <v>20</v>
      </c>
      <c r="C28" s="4"/>
      <c r="D28" s="4"/>
      <c r="E28" s="4"/>
      <c r="F28" s="53"/>
      <c r="G28" s="4"/>
      <c r="H28" s="4" t="s">
        <v>339</v>
      </c>
      <c r="I28" s="58">
        <f>3000+1500</f>
        <v>4500</v>
      </c>
      <c r="J28" s="58">
        <f>620+2932+884</f>
        <v>4436</v>
      </c>
      <c r="K28" s="198">
        <f t="shared" si="0"/>
        <v>98.577777777777769</v>
      </c>
      <c r="L28" s="23"/>
      <c r="M28" s="23"/>
      <c r="N28" s="207"/>
      <c r="O28" s="23">
        <f t="shared" si="1"/>
        <v>4500</v>
      </c>
      <c r="P28" s="23">
        <f t="shared" si="2"/>
        <v>4436</v>
      </c>
      <c r="Q28" s="203">
        <f t="shared" si="3"/>
        <v>98.577777777777769</v>
      </c>
    </row>
    <row r="29" spans="2:17" x14ac:dyDescent="0.2">
      <c r="B29" s="72">
        <f t="shared" si="4"/>
        <v>21</v>
      </c>
      <c r="C29" s="4"/>
      <c r="D29" s="4"/>
      <c r="E29" s="4"/>
      <c r="F29" s="53"/>
      <c r="G29" s="4"/>
      <c r="H29" s="4" t="s">
        <v>340</v>
      </c>
      <c r="I29" s="58">
        <f>12000+5900-1140</f>
        <v>16760</v>
      </c>
      <c r="J29" s="58">
        <f>5900+10860</f>
        <v>16760</v>
      </c>
      <c r="K29" s="198">
        <f t="shared" si="0"/>
        <v>100</v>
      </c>
      <c r="L29" s="23"/>
      <c r="M29" s="23"/>
      <c r="N29" s="207"/>
      <c r="O29" s="23">
        <f t="shared" si="1"/>
        <v>16760</v>
      </c>
      <c r="P29" s="23">
        <f t="shared" si="2"/>
        <v>16760</v>
      </c>
      <c r="Q29" s="203">
        <f t="shared" si="3"/>
        <v>100</v>
      </c>
    </row>
    <row r="30" spans="2:17" ht="24" x14ac:dyDescent="0.2">
      <c r="B30" s="72">
        <f t="shared" si="4"/>
        <v>22</v>
      </c>
      <c r="C30" s="75"/>
      <c r="D30" s="75"/>
      <c r="E30" s="75"/>
      <c r="F30" s="76"/>
      <c r="G30" s="75"/>
      <c r="H30" s="77" t="s">
        <v>423</v>
      </c>
      <c r="I30" s="65">
        <v>3000</v>
      </c>
      <c r="J30" s="65">
        <f>1300+1680</f>
        <v>2980</v>
      </c>
      <c r="K30" s="198">
        <f t="shared" si="0"/>
        <v>99.333333333333329</v>
      </c>
      <c r="L30" s="62"/>
      <c r="M30" s="62"/>
      <c r="N30" s="208"/>
      <c r="O30" s="62">
        <f t="shared" si="1"/>
        <v>3000</v>
      </c>
      <c r="P30" s="62">
        <f t="shared" si="2"/>
        <v>2980</v>
      </c>
      <c r="Q30" s="203">
        <f t="shared" si="3"/>
        <v>99.333333333333329</v>
      </c>
    </row>
    <row r="31" spans="2:17" x14ac:dyDescent="0.2">
      <c r="B31" s="72">
        <f t="shared" si="4"/>
        <v>23</v>
      </c>
      <c r="C31" s="75"/>
      <c r="D31" s="75"/>
      <c r="E31" s="75"/>
      <c r="F31" s="76"/>
      <c r="G31" s="75"/>
      <c r="H31" s="77" t="s">
        <v>419</v>
      </c>
      <c r="I31" s="65">
        <f>10000-1480</f>
        <v>8520</v>
      </c>
      <c r="J31" s="65">
        <f>6670+1850</f>
        <v>8520</v>
      </c>
      <c r="K31" s="198">
        <f t="shared" si="0"/>
        <v>100</v>
      </c>
      <c r="L31" s="62"/>
      <c r="M31" s="62"/>
      <c r="N31" s="208"/>
      <c r="O31" s="62">
        <f t="shared" si="1"/>
        <v>8520</v>
      </c>
      <c r="P31" s="62">
        <f t="shared" si="2"/>
        <v>8520</v>
      </c>
      <c r="Q31" s="203">
        <f t="shared" si="3"/>
        <v>100</v>
      </c>
    </row>
    <row r="32" spans="2:17" x14ac:dyDescent="0.2">
      <c r="B32" s="72">
        <f t="shared" si="4"/>
        <v>24</v>
      </c>
      <c r="C32" s="4"/>
      <c r="D32" s="4"/>
      <c r="E32" s="4"/>
      <c r="F32" s="53"/>
      <c r="G32" s="4"/>
      <c r="H32" s="4" t="s">
        <v>244</v>
      </c>
      <c r="I32" s="58">
        <v>3000</v>
      </c>
      <c r="J32" s="58">
        <v>3000</v>
      </c>
      <c r="K32" s="198">
        <f t="shared" si="0"/>
        <v>100</v>
      </c>
      <c r="L32" s="23"/>
      <c r="M32" s="23"/>
      <c r="N32" s="207"/>
      <c r="O32" s="23">
        <f t="shared" si="1"/>
        <v>3000</v>
      </c>
      <c r="P32" s="23">
        <f t="shared" si="2"/>
        <v>3000</v>
      </c>
      <c r="Q32" s="203">
        <f t="shared" si="3"/>
        <v>100</v>
      </c>
    </row>
    <row r="33" spans="2:17" x14ac:dyDescent="0.2">
      <c r="B33" s="72">
        <f t="shared" si="4"/>
        <v>25</v>
      </c>
      <c r="C33" s="4"/>
      <c r="D33" s="4"/>
      <c r="E33" s="4"/>
      <c r="F33" s="53"/>
      <c r="G33" s="4"/>
      <c r="H33" s="4" t="s">
        <v>245</v>
      </c>
      <c r="I33" s="58">
        <v>2500</v>
      </c>
      <c r="J33" s="58">
        <v>2500</v>
      </c>
      <c r="K33" s="198">
        <f t="shared" si="0"/>
        <v>100</v>
      </c>
      <c r="L33" s="23"/>
      <c r="M33" s="23"/>
      <c r="N33" s="207"/>
      <c r="O33" s="23">
        <f t="shared" si="1"/>
        <v>2500</v>
      </c>
      <c r="P33" s="23">
        <f t="shared" si="2"/>
        <v>2500</v>
      </c>
      <c r="Q33" s="203">
        <f t="shared" si="3"/>
        <v>100</v>
      </c>
    </row>
    <row r="34" spans="2:17" x14ac:dyDescent="0.2">
      <c r="B34" s="72">
        <f t="shared" si="4"/>
        <v>26</v>
      </c>
      <c r="C34" s="4"/>
      <c r="D34" s="4"/>
      <c r="E34" s="4"/>
      <c r="F34" s="53"/>
      <c r="G34" s="4"/>
      <c r="H34" s="4" t="s">
        <v>18</v>
      </c>
      <c r="I34" s="58">
        <f>18000+1140+1420</f>
        <v>20560</v>
      </c>
      <c r="J34" s="58">
        <f>18240+250+1496</f>
        <v>19986</v>
      </c>
      <c r="K34" s="198">
        <f t="shared" si="0"/>
        <v>97.208171206225686</v>
      </c>
      <c r="L34" s="23"/>
      <c r="M34" s="23"/>
      <c r="N34" s="207"/>
      <c r="O34" s="23">
        <f t="shared" si="1"/>
        <v>20560</v>
      </c>
      <c r="P34" s="23">
        <f t="shared" si="2"/>
        <v>19986</v>
      </c>
      <c r="Q34" s="203">
        <f t="shared" si="3"/>
        <v>97.208171206225686</v>
      </c>
    </row>
    <row r="35" spans="2:17" x14ac:dyDescent="0.2">
      <c r="B35" s="72">
        <f t="shared" si="4"/>
        <v>27</v>
      </c>
      <c r="C35" s="4"/>
      <c r="D35" s="4"/>
      <c r="E35" s="4"/>
      <c r="F35" s="53"/>
      <c r="G35" s="4"/>
      <c r="H35" s="4" t="s">
        <v>24</v>
      </c>
      <c r="I35" s="58">
        <f>8000+1480</f>
        <v>9480</v>
      </c>
      <c r="J35" s="58">
        <f>7790+1537+152</f>
        <v>9479</v>
      </c>
      <c r="K35" s="198">
        <f t="shared" si="0"/>
        <v>99.989451476793249</v>
      </c>
      <c r="L35" s="23"/>
      <c r="M35" s="23"/>
      <c r="N35" s="207"/>
      <c r="O35" s="23">
        <f t="shared" si="1"/>
        <v>9480</v>
      </c>
      <c r="P35" s="23">
        <f t="shared" si="2"/>
        <v>9479</v>
      </c>
      <c r="Q35" s="203">
        <f t="shared" si="3"/>
        <v>99.989451476793249</v>
      </c>
    </row>
    <row r="36" spans="2:17" x14ac:dyDescent="0.2">
      <c r="B36" s="72">
        <f t="shared" si="4"/>
        <v>28</v>
      </c>
      <c r="C36" s="4"/>
      <c r="D36" s="4"/>
      <c r="E36" s="4"/>
      <c r="F36" s="53"/>
      <c r="G36" s="4"/>
      <c r="H36" s="4" t="s">
        <v>78</v>
      </c>
      <c r="I36" s="58">
        <v>1500</v>
      </c>
      <c r="J36" s="58">
        <v>1500</v>
      </c>
      <c r="K36" s="198">
        <f t="shared" si="0"/>
        <v>100</v>
      </c>
      <c r="L36" s="23"/>
      <c r="M36" s="23"/>
      <c r="N36" s="207"/>
      <c r="O36" s="23">
        <f t="shared" si="1"/>
        <v>1500</v>
      </c>
      <c r="P36" s="23">
        <f t="shared" si="2"/>
        <v>1500</v>
      </c>
      <c r="Q36" s="203">
        <f t="shared" si="3"/>
        <v>100</v>
      </c>
    </row>
    <row r="37" spans="2:17" x14ac:dyDescent="0.2">
      <c r="B37" s="72">
        <f t="shared" si="4"/>
        <v>29</v>
      </c>
      <c r="C37" s="4"/>
      <c r="D37" s="4"/>
      <c r="E37" s="4"/>
      <c r="F37" s="53"/>
      <c r="G37" s="4"/>
      <c r="H37" s="4" t="s">
        <v>237</v>
      </c>
      <c r="I37" s="58">
        <v>500</v>
      </c>
      <c r="J37" s="58">
        <v>450</v>
      </c>
      <c r="K37" s="198">
        <f t="shared" si="0"/>
        <v>90</v>
      </c>
      <c r="L37" s="23"/>
      <c r="M37" s="23"/>
      <c r="N37" s="207"/>
      <c r="O37" s="23">
        <f t="shared" si="1"/>
        <v>500</v>
      </c>
      <c r="P37" s="23">
        <f t="shared" si="2"/>
        <v>450</v>
      </c>
      <c r="Q37" s="203">
        <f t="shared" si="3"/>
        <v>90</v>
      </c>
    </row>
    <row r="38" spans="2:17" x14ac:dyDescent="0.2">
      <c r="B38" s="72">
        <f t="shared" si="4"/>
        <v>30</v>
      </c>
      <c r="C38" s="4"/>
      <c r="D38" s="4"/>
      <c r="E38" s="4"/>
      <c r="F38" s="53"/>
      <c r="G38" s="4"/>
      <c r="H38" s="4" t="s">
        <v>716</v>
      </c>
      <c r="I38" s="23">
        <v>4000</v>
      </c>
      <c r="J38" s="23">
        <v>4000</v>
      </c>
      <c r="K38" s="198">
        <f t="shared" si="0"/>
        <v>100</v>
      </c>
      <c r="L38" s="23"/>
      <c r="M38" s="23"/>
      <c r="N38" s="207"/>
      <c r="O38" s="23">
        <f t="shared" si="1"/>
        <v>4000</v>
      </c>
      <c r="P38" s="23">
        <f t="shared" si="2"/>
        <v>4000</v>
      </c>
      <c r="Q38" s="203">
        <f t="shared" si="3"/>
        <v>100</v>
      </c>
    </row>
    <row r="39" spans="2:17" x14ac:dyDescent="0.2">
      <c r="B39" s="72">
        <f t="shared" si="4"/>
        <v>31</v>
      </c>
      <c r="C39" s="4"/>
      <c r="D39" s="4"/>
      <c r="E39" s="4"/>
      <c r="F39" s="53"/>
      <c r="G39" s="4"/>
      <c r="H39" s="4" t="s">
        <v>729</v>
      </c>
      <c r="I39" s="23">
        <f>3000-1420</f>
        <v>1580</v>
      </c>
      <c r="J39" s="23">
        <f>530+1050</f>
        <v>1580</v>
      </c>
      <c r="K39" s="198">
        <f t="shared" si="0"/>
        <v>100</v>
      </c>
      <c r="L39" s="23"/>
      <c r="M39" s="23"/>
      <c r="N39" s="207"/>
      <c r="O39" s="23">
        <f t="shared" si="1"/>
        <v>1580</v>
      </c>
      <c r="P39" s="23">
        <f t="shared" si="2"/>
        <v>1580</v>
      </c>
      <c r="Q39" s="203">
        <f t="shared" si="3"/>
        <v>100</v>
      </c>
    </row>
    <row r="40" spans="2:17" x14ac:dyDescent="0.2">
      <c r="B40" s="72">
        <f t="shared" si="4"/>
        <v>32</v>
      </c>
      <c r="C40" s="4"/>
      <c r="D40" s="4"/>
      <c r="E40" s="4"/>
      <c r="F40" s="53"/>
      <c r="G40" s="4"/>
      <c r="H40" s="4" t="s">
        <v>730</v>
      </c>
      <c r="I40" s="23">
        <v>2600</v>
      </c>
      <c r="J40" s="23">
        <v>2600</v>
      </c>
      <c r="K40" s="198">
        <f t="shared" si="0"/>
        <v>100</v>
      </c>
      <c r="L40" s="23"/>
      <c r="M40" s="23"/>
      <c r="N40" s="207"/>
      <c r="O40" s="23">
        <f t="shared" si="1"/>
        <v>2600</v>
      </c>
      <c r="P40" s="23">
        <f t="shared" si="2"/>
        <v>2600</v>
      </c>
      <c r="Q40" s="203">
        <f t="shared" si="3"/>
        <v>100</v>
      </c>
    </row>
    <row r="41" spans="2:17" x14ac:dyDescent="0.2">
      <c r="B41" s="72">
        <f t="shared" si="4"/>
        <v>33</v>
      </c>
      <c r="C41" s="4"/>
      <c r="D41" s="4"/>
      <c r="E41" s="4"/>
      <c r="F41" s="53"/>
      <c r="G41" s="4"/>
      <c r="H41" s="4" t="s">
        <v>731</v>
      </c>
      <c r="I41" s="23">
        <v>7700</v>
      </c>
      <c r="J41" s="23"/>
      <c r="K41" s="198">
        <f t="shared" si="0"/>
        <v>0</v>
      </c>
      <c r="L41" s="23"/>
      <c r="M41" s="23"/>
      <c r="N41" s="218"/>
      <c r="O41" s="23">
        <f t="shared" si="1"/>
        <v>7700</v>
      </c>
      <c r="P41" s="23">
        <f t="shared" si="2"/>
        <v>0</v>
      </c>
      <c r="Q41" s="203">
        <f t="shared" si="3"/>
        <v>0</v>
      </c>
    </row>
    <row r="42" spans="2:17" ht="15" x14ac:dyDescent="0.2">
      <c r="B42" s="72">
        <f t="shared" si="4"/>
        <v>34</v>
      </c>
      <c r="C42" s="179">
        <v>3</v>
      </c>
      <c r="D42" s="257" t="s">
        <v>141</v>
      </c>
      <c r="E42" s="253"/>
      <c r="F42" s="253"/>
      <c r="G42" s="253"/>
      <c r="H42" s="254"/>
      <c r="I42" s="45">
        <f>I43+I44+I51</f>
        <v>164780</v>
      </c>
      <c r="J42" s="45">
        <f>J43+J44+J51</f>
        <v>151619</v>
      </c>
      <c r="K42" s="198">
        <f t="shared" si="0"/>
        <v>92.012987012987011</v>
      </c>
      <c r="L42" s="45">
        <f>L48+L51</f>
        <v>10300</v>
      </c>
      <c r="M42" s="45">
        <f>M48+M51</f>
        <v>4999</v>
      </c>
      <c r="N42" s="220">
        <f t="shared" ref="N42:N67" si="5">M42/L42*100</f>
        <v>48.533980582524272</v>
      </c>
      <c r="O42" s="45">
        <f t="shared" si="1"/>
        <v>175080</v>
      </c>
      <c r="P42" s="45">
        <f t="shared" si="2"/>
        <v>156618</v>
      </c>
      <c r="Q42" s="203">
        <f t="shared" si="3"/>
        <v>89.455106237148726</v>
      </c>
    </row>
    <row r="43" spans="2:17" x14ac:dyDescent="0.2">
      <c r="B43" s="72">
        <f t="shared" si="4"/>
        <v>35</v>
      </c>
      <c r="C43" s="12"/>
      <c r="D43" s="12"/>
      <c r="E43" s="12"/>
      <c r="F43" s="52" t="s">
        <v>74</v>
      </c>
      <c r="G43" s="12">
        <v>620</v>
      </c>
      <c r="H43" s="12" t="s">
        <v>130</v>
      </c>
      <c r="I43" s="49">
        <v>2400</v>
      </c>
      <c r="J43" s="49">
        <v>1902</v>
      </c>
      <c r="K43" s="198">
        <f t="shared" si="0"/>
        <v>79.25</v>
      </c>
      <c r="L43" s="49"/>
      <c r="M43" s="49"/>
      <c r="N43" s="218"/>
      <c r="O43" s="49">
        <f t="shared" si="1"/>
        <v>2400</v>
      </c>
      <c r="P43" s="49">
        <f t="shared" si="2"/>
        <v>1902</v>
      </c>
      <c r="Q43" s="203">
        <f t="shared" si="3"/>
        <v>79.25</v>
      </c>
    </row>
    <row r="44" spans="2:17" x14ac:dyDescent="0.2">
      <c r="B44" s="72">
        <f t="shared" si="4"/>
        <v>36</v>
      </c>
      <c r="C44" s="12"/>
      <c r="D44" s="12"/>
      <c r="E44" s="12"/>
      <c r="F44" s="52" t="s">
        <v>74</v>
      </c>
      <c r="G44" s="12">
        <v>630</v>
      </c>
      <c r="H44" s="12" t="s">
        <v>127</v>
      </c>
      <c r="I44" s="49">
        <f>I45+I46+I47</f>
        <v>27580</v>
      </c>
      <c r="J44" s="49">
        <f>J45+J46+J47</f>
        <v>26222</v>
      </c>
      <c r="K44" s="198">
        <f t="shared" si="0"/>
        <v>95.076142131979694</v>
      </c>
      <c r="L44" s="49">
        <v>0</v>
      </c>
      <c r="M44" s="49"/>
      <c r="N44" s="218"/>
      <c r="O44" s="49">
        <f t="shared" si="1"/>
        <v>27580</v>
      </c>
      <c r="P44" s="49">
        <f t="shared" si="2"/>
        <v>26222</v>
      </c>
      <c r="Q44" s="203">
        <f t="shared" si="3"/>
        <v>95.076142131979694</v>
      </c>
    </row>
    <row r="45" spans="2:17" x14ac:dyDescent="0.2">
      <c r="B45" s="72">
        <f t="shared" si="4"/>
        <v>37</v>
      </c>
      <c r="C45" s="4"/>
      <c r="D45" s="4"/>
      <c r="E45" s="4"/>
      <c r="F45" s="53" t="s">
        <v>74</v>
      </c>
      <c r="G45" s="4">
        <v>633</v>
      </c>
      <c r="H45" s="4" t="s">
        <v>131</v>
      </c>
      <c r="I45" s="23">
        <f>5000+880</f>
        <v>5880</v>
      </c>
      <c r="J45" s="23">
        <v>5452</v>
      </c>
      <c r="K45" s="198">
        <f t="shared" si="0"/>
        <v>92.721088435374156</v>
      </c>
      <c r="L45" s="23"/>
      <c r="M45" s="23"/>
      <c r="N45" s="218"/>
      <c r="O45" s="23">
        <f t="shared" si="1"/>
        <v>5880</v>
      </c>
      <c r="P45" s="23">
        <f t="shared" si="2"/>
        <v>5452</v>
      </c>
      <c r="Q45" s="203">
        <f t="shared" si="3"/>
        <v>92.721088435374156</v>
      </c>
    </row>
    <row r="46" spans="2:17" x14ac:dyDescent="0.2">
      <c r="B46" s="72">
        <f t="shared" si="4"/>
        <v>38</v>
      </c>
      <c r="C46" s="4"/>
      <c r="D46" s="4"/>
      <c r="E46" s="4"/>
      <c r="F46" s="53" t="s">
        <v>74</v>
      </c>
      <c r="G46" s="4">
        <v>637</v>
      </c>
      <c r="H46" s="4" t="s">
        <v>128</v>
      </c>
      <c r="I46" s="23">
        <f>12200-2500</f>
        <v>9700</v>
      </c>
      <c r="J46" s="23">
        <v>8853</v>
      </c>
      <c r="K46" s="198">
        <f t="shared" si="0"/>
        <v>91.268041237113408</v>
      </c>
      <c r="L46" s="23"/>
      <c r="M46" s="23"/>
      <c r="N46" s="218"/>
      <c r="O46" s="23">
        <f t="shared" si="1"/>
        <v>9700</v>
      </c>
      <c r="P46" s="23">
        <f t="shared" si="2"/>
        <v>8853</v>
      </c>
      <c r="Q46" s="203">
        <f t="shared" si="3"/>
        <v>91.268041237113408</v>
      </c>
    </row>
    <row r="47" spans="2:17" x14ac:dyDescent="0.2">
      <c r="B47" s="72">
        <f t="shared" si="4"/>
        <v>39</v>
      </c>
      <c r="C47" s="4"/>
      <c r="D47" s="4"/>
      <c r="E47" s="4"/>
      <c r="F47" s="53" t="s">
        <v>74</v>
      </c>
      <c r="G47" s="4">
        <v>630</v>
      </c>
      <c r="H47" s="4" t="s">
        <v>142</v>
      </c>
      <c r="I47" s="58">
        <f>500+9000+2500</f>
        <v>12000</v>
      </c>
      <c r="J47" s="58">
        <v>11917</v>
      </c>
      <c r="K47" s="198">
        <f t="shared" si="0"/>
        <v>99.308333333333337</v>
      </c>
      <c r="L47" s="23"/>
      <c r="M47" s="23"/>
      <c r="N47" s="218"/>
      <c r="O47" s="23">
        <f t="shared" si="1"/>
        <v>12000</v>
      </c>
      <c r="P47" s="23">
        <f t="shared" si="2"/>
        <v>11917</v>
      </c>
      <c r="Q47" s="203">
        <f t="shared" si="3"/>
        <v>99.308333333333337</v>
      </c>
    </row>
    <row r="48" spans="2:17" x14ac:dyDescent="0.2">
      <c r="B48" s="72">
        <f t="shared" si="4"/>
        <v>40</v>
      </c>
      <c r="C48" s="4"/>
      <c r="D48" s="4"/>
      <c r="E48" s="4"/>
      <c r="F48" s="52" t="s">
        <v>74</v>
      </c>
      <c r="G48" s="12">
        <v>710</v>
      </c>
      <c r="H48" s="12" t="s">
        <v>183</v>
      </c>
      <c r="I48" s="49">
        <v>0</v>
      </c>
      <c r="J48" s="49"/>
      <c r="K48" s="198"/>
      <c r="L48" s="49">
        <f>L49</f>
        <v>5300</v>
      </c>
      <c r="M48" s="49">
        <f>M49</f>
        <v>0</v>
      </c>
      <c r="N48" s="218"/>
      <c r="O48" s="49">
        <f t="shared" si="1"/>
        <v>5300</v>
      </c>
      <c r="P48" s="49">
        <f t="shared" si="2"/>
        <v>0</v>
      </c>
      <c r="Q48" s="203">
        <f t="shared" si="3"/>
        <v>0</v>
      </c>
    </row>
    <row r="49" spans="2:17" x14ac:dyDescent="0.2">
      <c r="B49" s="72">
        <f t="shared" si="4"/>
        <v>41</v>
      </c>
      <c r="C49" s="4"/>
      <c r="D49" s="4"/>
      <c r="E49" s="4"/>
      <c r="F49" s="82" t="s">
        <v>74</v>
      </c>
      <c r="G49" s="83">
        <v>717</v>
      </c>
      <c r="H49" s="83" t="s">
        <v>193</v>
      </c>
      <c r="I49" s="84"/>
      <c r="J49" s="84"/>
      <c r="K49" s="198"/>
      <c r="L49" s="84">
        <f>L50</f>
        <v>5300</v>
      </c>
      <c r="M49" s="84">
        <f>M50</f>
        <v>0</v>
      </c>
      <c r="N49" s="218"/>
      <c r="O49" s="84">
        <f t="shared" si="1"/>
        <v>5300</v>
      </c>
      <c r="P49" s="84">
        <f t="shared" si="2"/>
        <v>0</v>
      </c>
      <c r="Q49" s="203">
        <f t="shared" ref="Q49:Q58" si="6">P49/O49*100</f>
        <v>0</v>
      </c>
    </row>
    <row r="50" spans="2:17" ht="24" x14ac:dyDescent="0.2">
      <c r="B50" s="72">
        <f t="shared" si="4"/>
        <v>42</v>
      </c>
      <c r="C50" s="4"/>
      <c r="D50" s="4"/>
      <c r="E50" s="4"/>
      <c r="F50" s="53"/>
      <c r="G50" s="4"/>
      <c r="H50" s="110" t="s">
        <v>756</v>
      </c>
      <c r="I50" s="23"/>
      <c r="J50" s="23"/>
      <c r="K50" s="198"/>
      <c r="L50" s="23">
        <v>5300</v>
      </c>
      <c r="M50" s="23"/>
      <c r="N50" s="218"/>
      <c r="O50" s="23">
        <f t="shared" si="1"/>
        <v>5300</v>
      </c>
      <c r="P50" s="23">
        <f t="shared" si="2"/>
        <v>0</v>
      </c>
      <c r="Q50" s="203">
        <f t="shared" si="6"/>
        <v>0</v>
      </c>
    </row>
    <row r="51" spans="2:17" ht="15" x14ac:dyDescent="0.25">
      <c r="B51" s="72">
        <f t="shared" si="4"/>
        <v>43</v>
      </c>
      <c r="C51" s="15"/>
      <c r="D51" s="15"/>
      <c r="E51" s="15">
        <v>2</v>
      </c>
      <c r="F51" s="50"/>
      <c r="G51" s="15"/>
      <c r="H51" s="15" t="s">
        <v>256</v>
      </c>
      <c r="I51" s="47">
        <f>I52</f>
        <v>134800</v>
      </c>
      <c r="J51" s="47">
        <f>J52</f>
        <v>123495</v>
      </c>
      <c r="K51" s="198">
        <f t="shared" ref="K51:K58" si="7">J51/I51*100</f>
        <v>91.613501483679528</v>
      </c>
      <c r="L51" s="47">
        <f>L52+L61</f>
        <v>5000</v>
      </c>
      <c r="M51" s="47">
        <f>M52+M61</f>
        <v>4999</v>
      </c>
      <c r="N51" s="218">
        <f t="shared" si="5"/>
        <v>99.98</v>
      </c>
      <c r="O51" s="47">
        <f t="shared" si="1"/>
        <v>139800</v>
      </c>
      <c r="P51" s="47">
        <f t="shared" si="2"/>
        <v>128494</v>
      </c>
      <c r="Q51" s="203">
        <f t="shared" si="6"/>
        <v>91.91273247496423</v>
      </c>
    </row>
    <row r="52" spans="2:17" x14ac:dyDescent="0.2">
      <c r="B52" s="72">
        <f t="shared" si="4"/>
        <v>44</v>
      </c>
      <c r="C52" s="12"/>
      <c r="D52" s="12"/>
      <c r="E52" s="12"/>
      <c r="F52" s="52" t="s">
        <v>74</v>
      </c>
      <c r="G52" s="12">
        <v>630</v>
      </c>
      <c r="H52" s="12" t="s">
        <v>127</v>
      </c>
      <c r="I52" s="49">
        <f>I60+I58+I54+I53+I59+I55+I56+I57</f>
        <v>134800</v>
      </c>
      <c r="J52" s="49">
        <f>J60+J58+J54+J53+J59+J55+J56+J57</f>
        <v>123495</v>
      </c>
      <c r="K52" s="198">
        <f t="shared" si="7"/>
        <v>91.613501483679528</v>
      </c>
      <c r="L52" s="49">
        <f>L60+L58+L54+L53</f>
        <v>0</v>
      </c>
      <c r="M52" s="49">
        <f>M60+M58+M54+M53</f>
        <v>0</v>
      </c>
      <c r="N52" s="218"/>
      <c r="O52" s="49">
        <f t="shared" si="1"/>
        <v>134800</v>
      </c>
      <c r="P52" s="49">
        <f t="shared" si="2"/>
        <v>123495</v>
      </c>
      <c r="Q52" s="203">
        <f t="shared" si="6"/>
        <v>91.613501483679528</v>
      </c>
    </row>
    <row r="53" spans="2:17" x14ac:dyDescent="0.2">
      <c r="B53" s="72">
        <f t="shared" si="4"/>
        <v>45</v>
      </c>
      <c r="C53" s="4"/>
      <c r="D53" s="4"/>
      <c r="E53" s="4"/>
      <c r="F53" s="53" t="s">
        <v>74</v>
      </c>
      <c r="G53" s="4">
        <v>632</v>
      </c>
      <c r="H53" s="4" t="s">
        <v>138</v>
      </c>
      <c r="I53" s="23">
        <v>114000</v>
      </c>
      <c r="J53" s="23">
        <v>110654</v>
      </c>
      <c r="K53" s="198">
        <f t="shared" si="7"/>
        <v>97.064912280701748</v>
      </c>
      <c r="L53" s="23"/>
      <c r="M53" s="23"/>
      <c r="N53" s="218"/>
      <c r="O53" s="23">
        <f t="shared" si="1"/>
        <v>114000</v>
      </c>
      <c r="P53" s="23">
        <f t="shared" si="2"/>
        <v>110654</v>
      </c>
      <c r="Q53" s="203">
        <f t="shared" si="6"/>
        <v>97.064912280701748</v>
      </c>
    </row>
    <row r="54" spans="2:17" x14ac:dyDescent="0.2">
      <c r="B54" s="72">
        <f t="shared" si="4"/>
        <v>46</v>
      </c>
      <c r="C54" s="4"/>
      <c r="D54" s="4"/>
      <c r="E54" s="4"/>
      <c r="F54" s="53" t="s">
        <v>74</v>
      </c>
      <c r="G54" s="4">
        <v>633</v>
      </c>
      <c r="H54" s="4" t="s">
        <v>131</v>
      </c>
      <c r="I54" s="23">
        <v>2500</v>
      </c>
      <c r="J54" s="23">
        <f>3096-J55-J56-J57</f>
        <v>126</v>
      </c>
      <c r="K54" s="198">
        <f t="shared" si="7"/>
        <v>5.04</v>
      </c>
      <c r="L54" s="23"/>
      <c r="M54" s="23"/>
      <c r="N54" s="218"/>
      <c r="O54" s="23">
        <f t="shared" si="1"/>
        <v>2500</v>
      </c>
      <c r="P54" s="23">
        <f t="shared" si="2"/>
        <v>126</v>
      </c>
      <c r="Q54" s="203">
        <f t="shared" si="6"/>
        <v>5.04</v>
      </c>
    </row>
    <row r="55" spans="2:17" x14ac:dyDescent="0.2">
      <c r="B55" s="72">
        <f t="shared" si="4"/>
        <v>47</v>
      </c>
      <c r="C55" s="75"/>
      <c r="D55" s="75"/>
      <c r="E55" s="75"/>
      <c r="F55" s="142" t="s">
        <v>74</v>
      </c>
      <c r="G55" s="138">
        <v>633</v>
      </c>
      <c r="H55" s="139" t="s">
        <v>560</v>
      </c>
      <c r="I55" s="134">
        <v>1000</v>
      </c>
      <c r="J55" s="134">
        <v>1000</v>
      </c>
      <c r="K55" s="198">
        <f t="shared" si="7"/>
        <v>100</v>
      </c>
      <c r="L55" s="134"/>
      <c r="M55" s="134"/>
      <c r="N55" s="219"/>
      <c r="O55" s="134">
        <f t="shared" ref="O55:P57" si="8">L55+I55</f>
        <v>1000</v>
      </c>
      <c r="P55" s="134">
        <f t="shared" si="8"/>
        <v>1000</v>
      </c>
      <c r="Q55" s="203">
        <f t="shared" si="6"/>
        <v>100</v>
      </c>
    </row>
    <row r="56" spans="2:17" ht="24" x14ac:dyDescent="0.2">
      <c r="B56" s="72">
        <f t="shared" si="4"/>
        <v>48</v>
      </c>
      <c r="C56" s="75"/>
      <c r="D56" s="75"/>
      <c r="E56" s="75"/>
      <c r="F56" s="142" t="s">
        <v>74</v>
      </c>
      <c r="G56" s="138">
        <v>633</v>
      </c>
      <c r="H56" s="139" t="s">
        <v>561</v>
      </c>
      <c r="I56" s="134">
        <v>1000</v>
      </c>
      <c r="J56" s="134">
        <v>973</v>
      </c>
      <c r="K56" s="198">
        <f t="shared" si="7"/>
        <v>97.3</v>
      </c>
      <c r="L56" s="134"/>
      <c r="M56" s="134"/>
      <c r="N56" s="219"/>
      <c r="O56" s="134">
        <f t="shared" si="8"/>
        <v>1000</v>
      </c>
      <c r="P56" s="134">
        <f t="shared" si="8"/>
        <v>973</v>
      </c>
      <c r="Q56" s="203">
        <f t="shared" si="6"/>
        <v>97.3</v>
      </c>
    </row>
    <row r="57" spans="2:17" x14ac:dyDescent="0.2">
      <c r="B57" s="72">
        <f t="shared" si="4"/>
        <v>49</v>
      </c>
      <c r="C57" s="75"/>
      <c r="D57" s="75"/>
      <c r="E57" s="75"/>
      <c r="F57" s="142" t="s">
        <v>74</v>
      </c>
      <c r="G57" s="138">
        <v>633</v>
      </c>
      <c r="H57" s="139" t="s">
        <v>562</v>
      </c>
      <c r="I57" s="134">
        <v>1000</v>
      </c>
      <c r="J57" s="134">
        <v>997</v>
      </c>
      <c r="K57" s="198">
        <f t="shared" si="7"/>
        <v>99.7</v>
      </c>
      <c r="L57" s="134"/>
      <c r="M57" s="134"/>
      <c r="N57" s="219"/>
      <c r="O57" s="134">
        <f t="shared" si="8"/>
        <v>1000</v>
      </c>
      <c r="P57" s="134">
        <f t="shared" si="8"/>
        <v>997</v>
      </c>
      <c r="Q57" s="203">
        <f t="shared" si="6"/>
        <v>99.7</v>
      </c>
    </row>
    <row r="58" spans="2:17" x14ac:dyDescent="0.2">
      <c r="B58" s="72">
        <f t="shared" si="4"/>
        <v>50</v>
      </c>
      <c r="C58" s="4"/>
      <c r="D58" s="4"/>
      <c r="E58" s="4"/>
      <c r="F58" s="53" t="s">
        <v>74</v>
      </c>
      <c r="G58" s="4">
        <v>635</v>
      </c>
      <c r="H58" s="4" t="s">
        <v>137</v>
      </c>
      <c r="I58" s="23">
        <f>10500-1000-2000</f>
        <v>7500</v>
      </c>
      <c r="J58" s="23">
        <v>7086</v>
      </c>
      <c r="K58" s="198">
        <f t="shared" si="7"/>
        <v>94.48</v>
      </c>
      <c r="L58" s="23"/>
      <c r="M58" s="23"/>
      <c r="N58" s="218"/>
      <c r="O58" s="23">
        <f>I58+L58</f>
        <v>7500</v>
      </c>
      <c r="P58" s="23">
        <f>J58+M58</f>
        <v>7086</v>
      </c>
      <c r="Q58" s="203">
        <f t="shared" si="6"/>
        <v>94.48</v>
      </c>
    </row>
    <row r="59" spans="2:17" ht="24" x14ac:dyDescent="0.2">
      <c r="B59" s="72">
        <f t="shared" ref="B59:B67" si="9">B58+1</f>
        <v>51</v>
      </c>
      <c r="C59" s="4"/>
      <c r="D59" s="4"/>
      <c r="E59" s="4"/>
      <c r="F59" s="76" t="s">
        <v>74</v>
      </c>
      <c r="G59" s="75">
        <v>635</v>
      </c>
      <c r="H59" s="120" t="s">
        <v>531</v>
      </c>
      <c r="I59" s="117">
        <f>3000-3000</f>
        <v>0</v>
      </c>
      <c r="J59" s="117">
        <v>0</v>
      </c>
      <c r="K59" s="198">
        <v>0</v>
      </c>
      <c r="L59" s="117"/>
      <c r="M59" s="117"/>
      <c r="N59" s="219"/>
      <c r="O59" s="117">
        <f>I59</f>
        <v>0</v>
      </c>
      <c r="P59" s="117">
        <f>J59</f>
        <v>0</v>
      </c>
      <c r="Q59" s="203"/>
    </row>
    <row r="60" spans="2:17" x14ac:dyDescent="0.2">
      <c r="B60" s="72">
        <f t="shared" si="9"/>
        <v>52</v>
      </c>
      <c r="C60" s="4"/>
      <c r="D60" s="4"/>
      <c r="E60" s="4"/>
      <c r="F60" s="53" t="s">
        <v>74</v>
      </c>
      <c r="G60" s="4">
        <v>637</v>
      </c>
      <c r="H60" s="4" t="s">
        <v>128</v>
      </c>
      <c r="I60" s="23">
        <v>7800</v>
      </c>
      <c r="J60" s="23">
        <v>2659</v>
      </c>
      <c r="K60" s="198">
        <f>J60/I60*100</f>
        <v>34.089743589743584</v>
      </c>
      <c r="L60" s="23"/>
      <c r="M60" s="23"/>
      <c r="N60" s="218"/>
      <c r="O60" s="23">
        <f t="shared" ref="O60:P67" si="10">I60+L60</f>
        <v>7800</v>
      </c>
      <c r="P60" s="23">
        <f t="shared" si="10"/>
        <v>2659</v>
      </c>
      <c r="Q60" s="203">
        <f t="shared" ref="Q60:Q67" si="11">P60/O60*100</f>
        <v>34.089743589743584</v>
      </c>
    </row>
    <row r="61" spans="2:17" x14ac:dyDescent="0.2">
      <c r="B61" s="72">
        <f t="shared" si="9"/>
        <v>53</v>
      </c>
      <c r="C61" s="4"/>
      <c r="D61" s="4"/>
      <c r="E61" s="4"/>
      <c r="F61" s="52" t="s">
        <v>74</v>
      </c>
      <c r="G61" s="12">
        <v>710</v>
      </c>
      <c r="H61" s="12" t="s">
        <v>183</v>
      </c>
      <c r="I61" s="49">
        <v>0</v>
      </c>
      <c r="J61" s="49">
        <v>0</v>
      </c>
      <c r="K61" s="198"/>
      <c r="L61" s="49">
        <f>L62</f>
        <v>5000</v>
      </c>
      <c r="M61" s="49">
        <f>M62</f>
        <v>4999</v>
      </c>
      <c r="N61" s="218">
        <f t="shared" si="5"/>
        <v>99.98</v>
      </c>
      <c r="O61" s="49">
        <f t="shared" si="10"/>
        <v>5000</v>
      </c>
      <c r="P61" s="49">
        <f t="shared" si="10"/>
        <v>4999</v>
      </c>
      <c r="Q61" s="203">
        <f t="shared" si="11"/>
        <v>99.98</v>
      </c>
    </row>
    <row r="62" spans="2:17" x14ac:dyDescent="0.2">
      <c r="B62" s="72">
        <f t="shared" si="9"/>
        <v>54</v>
      </c>
      <c r="C62" s="4"/>
      <c r="D62" s="4"/>
      <c r="E62" s="4"/>
      <c r="F62" s="82" t="s">
        <v>74</v>
      </c>
      <c r="G62" s="83">
        <v>717</v>
      </c>
      <c r="H62" s="83" t="s">
        <v>0</v>
      </c>
      <c r="I62" s="84"/>
      <c r="J62" s="84"/>
      <c r="K62" s="198"/>
      <c r="L62" s="84">
        <f>L63</f>
        <v>5000</v>
      </c>
      <c r="M62" s="84">
        <f>M63</f>
        <v>4999</v>
      </c>
      <c r="N62" s="218">
        <f t="shared" si="5"/>
        <v>99.98</v>
      </c>
      <c r="O62" s="84">
        <f t="shared" si="10"/>
        <v>5000</v>
      </c>
      <c r="P62" s="84">
        <f t="shared" si="10"/>
        <v>4999</v>
      </c>
      <c r="Q62" s="203">
        <f t="shared" si="11"/>
        <v>99.98</v>
      </c>
    </row>
    <row r="63" spans="2:17" ht="24" x14ac:dyDescent="0.2">
      <c r="B63" s="72">
        <f t="shared" si="9"/>
        <v>55</v>
      </c>
      <c r="C63" s="4"/>
      <c r="D63" s="4"/>
      <c r="E63" s="4"/>
      <c r="F63" s="69"/>
      <c r="G63" s="66"/>
      <c r="H63" s="77" t="s">
        <v>531</v>
      </c>
      <c r="I63" s="68"/>
      <c r="J63" s="68"/>
      <c r="K63" s="198"/>
      <c r="L63" s="65">
        <v>5000</v>
      </c>
      <c r="M63" s="65">
        <v>4999</v>
      </c>
      <c r="N63" s="219">
        <f t="shared" si="5"/>
        <v>99.98</v>
      </c>
      <c r="O63" s="65">
        <f t="shared" si="10"/>
        <v>5000</v>
      </c>
      <c r="P63" s="65">
        <f t="shared" si="10"/>
        <v>4999</v>
      </c>
      <c r="Q63" s="203">
        <f t="shared" si="11"/>
        <v>99.98</v>
      </c>
    </row>
    <row r="64" spans="2:17" ht="15" x14ac:dyDescent="0.2">
      <c r="B64" s="72">
        <f t="shared" si="9"/>
        <v>56</v>
      </c>
      <c r="C64" s="179">
        <v>4</v>
      </c>
      <c r="D64" s="257" t="s">
        <v>203</v>
      </c>
      <c r="E64" s="253"/>
      <c r="F64" s="253"/>
      <c r="G64" s="253"/>
      <c r="H64" s="254"/>
      <c r="I64" s="45">
        <f>I65</f>
        <v>0</v>
      </c>
      <c r="J64" s="45">
        <f>J65</f>
        <v>0</v>
      </c>
      <c r="K64" s="198"/>
      <c r="L64" s="45">
        <f>L65</f>
        <v>18320</v>
      </c>
      <c r="M64" s="45">
        <f>M65</f>
        <v>18311</v>
      </c>
      <c r="N64" s="220">
        <f t="shared" si="5"/>
        <v>99.950873362445407</v>
      </c>
      <c r="O64" s="45">
        <f t="shared" si="10"/>
        <v>18320</v>
      </c>
      <c r="P64" s="45">
        <f t="shared" si="10"/>
        <v>18311</v>
      </c>
      <c r="Q64" s="203">
        <f t="shared" si="11"/>
        <v>99.950873362445407</v>
      </c>
    </row>
    <row r="65" spans="2:17" x14ac:dyDescent="0.2">
      <c r="B65" s="72">
        <f t="shared" si="9"/>
        <v>57</v>
      </c>
      <c r="C65" s="12"/>
      <c r="D65" s="12"/>
      <c r="E65" s="12"/>
      <c r="F65" s="52" t="s">
        <v>74</v>
      </c>
      <c r="G65" s="12">
        <v>710</v>
      </c>
      <c r="H65" s="12" t="s">
        <v>183</v>
      </c>
      <c r="I65" s="49">
        <f>I66</f>
        <v>0</v>
      </c>
      <c r="J65" s="49">
        <f>J66</f>
        <v>0</v>
      </c>
      <c r="K65" s="198"/>
      <c r="L65" s="49">
        <f>L66</f>
        <v>18320</v>
      </c>
      <c r="M65" s="49">
        <f>M66</f>
        <v>18311</v>
      </c>
      <c r="N65" s="218">
        <f t="shared" si="5"/>
        <v>99.950873362445407</v>
      </c>
      <c r="O65" s="49">
        <f t="shared" si="10"/>
        <v>18320</v>
      </c>
      <c r="P65" s="49">
        <f t="shared" si="10"/>
        <v>18311</v>
      </c>
      <c r="Q65" s="203">
        <f t="shared" si="11"/>
        <v>99.950873362445407</v>
      </c>
    </row>
    <row r="66" spans="2:17" x14ac:dyDescent="0.2">
      <c r="B66" s="72">
        <f t="shared" si="9"/>
        <v>58</v>
      </c>
      <c r="C66" s="4"/>
      <c r="D66" s="4"/>
      <c r="E66" s="4"/>
      <c r="F66" s="82" t="s">
        <v>74</v>
      </c>
      <c r="G66" s="83">
        <v>717</v>
      </c>
      <c r="H66" s="83" t="s">
        <v>193</v>
      </c>
      <c r="I66" s="84"/>
      <c r="J66" s="84"/>
      <c r="K66" s="198"/>
      <c r="L66" s="84">
        <v>18320</v>
      </c>
      <c r="M66" s="84">
        <f>M67</f>
        <v>18311</v>
      </c>
      <c r="N66" s="218">
        <f t="shared" si="5"/>
        <v>99.950873362445407</v>
      </c>
      <c r="O66" s="84">
        <f t="shared" si="10"/>
        <v>18320</v>
      </c>
      <c r="P66" s="84">
        <f t="shared" si="10"/>
        <v>18311</v>
      </c>
      <c r="Q66" s="203">
        <f t="shared" si="11"/>
        <v>99.950873362445407</v>
      </c>
    </row>
    <row r="67" spans="2:17" x14ac:dyDescent="0.2">
      <c r="B67" s="72">
        <f t="shared" si="9"/>
        <v>59</v>
      </c>
      <c r="C67" s="4"/>
      <c r="D67" s="4"/>
      <c r="E67" s="4"/>
      <c r="F67" s="53"/>
      <c r="G67" s="4"/>
      <c r="H67" s="4" t="s">
        <v>378</v>
      </c>
      <c r="I67" s="23"/>
      <c r="J67" s="23"/>
      <c r="K67" s="198"/>
      <c r="L67" s="23">
        <v>18320</v>
      </c>
      <c r="M67" s="23">
        <v>18311</v>
      </c>
      <c r="N67" s="218">
        <f t="shared" si="5"/>
        <v>99.950873362445407</v>
      </c>
      <c r="O67" s="23">
        <f t="shared" si="10"/>
        <v>18320</v>
      </c>
      <c r="P67" s="23">
        <f t="shared" si="10"/>
        <v>18311</v>
      </c>
      <c r="Q67" s="203">
        <f t="shared" si="11"/>
        <v>99.950873362445407</v>
      </c>
    </row>
  </sheetData>
  <mergeCells count="23">
    <mergeCell ref="D64:H64"/>
    <mergeCell ref="B3:O3"/>
    <mergeCell ref="O4:O8"/>
    <mergeCell ref="B5:B8"/>
    <mergeCell ref="C5:C8"/>
    <mergeCell ref="D5:D8"/>
    <mergeCell ref="E5:E8"/>
    <mergeCell ref="F5:F8"/>
    <mergeCell ref="G5:G8"/>
    <mergeCell ref="D42:H42"/>
    <mergeCell ref="B4:N4"/>
    <mergeCell ref="P4:P8"/>
    <mergeCell ref="Q4:Q8"/>
    <mergeCell ref="C9:H9"/>
    <mergeCell ref="D10:H10"/>
    <mergeCell ref="D22:H22"/>
    <mergeCell ref="H5:H8"/>
    <mergeCell ref="I5:I8"/>
    <mergeCell ref="L5:L8"/>
    <mergeCell ref="J5:J8"/>
    <mergeCell ref="K5:K8"/>
    <mergeCell ref="M5:M8"/>
    <mergeCell ref="N5:N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107"/>
  <sheetViews>
    <sheetView zoomScale="90" zoomScaleNormal="90" workbookViewId="0"/>
  </sheetViews>
  <sheetFormatPr defaultRowHeight="12.75" x14ac:dyDescent="0.2"/>
  <cols>
    <col min="2" max="2" width="5" customWidth="1"/>
    <col min="3" max="3" width="4.5703125" customWidth="1"/>
    <col min="4" max="4" width="3.85546875" customWidth="1"/>
    <col min="5" max="5" width="4.5703125" customWidth="1"/>
    <col min="6" max="6" width="6.140625" customWidth="1"/>
    <col min="7" max="7" width="3.7109375" customWidth="1"/>
    <col min="8" max="8" width="47.28515625" customWidth="1"/>
    <col min="9" max="9" width="14" customWidth="1"/>
    <col min="10" max="10" width="11.85546875" customWidth="1"/>
    <col min="11" max="11" width="5.140625" customWidth="1"/>
    <col min="12" max="12" width="13.42578125" customWidth="1"/>
    <col min="13" max="13" width="12" customWidth="1"/>
    <col min="14" max="14" width="5.85546875" style="209" customWidth="1"/>
    <col min="15" max="15" width="11.5703125" customWidth="1"/>
    <col min="16" max="16" width="11.85546875" customWidth="1"/>
    <col min="17" max="17" width="7.42578125" customWidth="1"/>
  </cols>
  <sheetData>
    <row r="4" spans="2:17" ht="27" x14ac:dyDescent="0.35">
      <c r="B4" s="264" t="s">
        <v>306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2:17" x14ac:dyDescent="0.2">
      <c r="B5" s="271" t="s">
        <v>280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5"/>
      <c r="O5" s="261" t="s">
        <v>575</v>
      </c>
      <c r="P5" s="250" t="s">
        <v>768</v>
      </c>
      <c r="Q5" s="251" t="s">
        <v>765</v>
      </c>
    </row>
    <row r="6" spans="2:17" x14ac:dyDescent="0.2">
      <c r="B6" s="266" t="s">
        <v>111</v>
      </c>
      <c r="C6" s="255" t="s">
        <v>119</v>
      </c>
      <c r="D6" s="255" t="s">
        <v>120</v>
      </c>
      <c r="E6" s="258" t="s">
        <v>124</v>
      </c>
      <c r="F6" s="255" t="s">
        <v>121</v>
      </c>
      <c r="G6" s="255" t="s">
        <v>122</v>
      </c>
      <c r="H6" s="273" t="s">
        <v>123</v>
      </c>
      <c r="I6" s="261" t="s">
        <v>572</v>
      </c>
      <c r="J6" s="250" t="s">
        <v>766</v>
      </c>
      <c r="K6" s="251" t="s">
        <v>765</v>
      </c>
      <c r="L6" s="261" t="s">
        <v>573</v>
      </c>
      <c r="M6" s="250" t="s">
        <v>767</v>
      </c>
      <c r="N6" s="251" t="s">
        <v>765</v>
      </c>
      <c r="O6" s="262"/>
      <c r="P6" s="250"/>
      <c r="Q6" s="251"/>
    </row>
    <row r="7" spans="2:17" x14ac:dyDescent="0.2">
      <c r="B7" s="266"/>
      <c r="C7" s="255"/>
      <c r="D7" s="255"/>
      <c r="E7" s="259"/>
      <c r="F7" s="255"/>
      <c r="G7" s="255"/>
      <c r="H7" s="273"/>
      <c r="I7" s="262"/>
      <c r="J7" s="250"/>
      <c r="K7" s="251"/>
      <c r="L7" s="262"/>
      <c r="M7" s="250"/>
      <c r="N7" s="251"/>
      <c r="O7" s="262"/>
      <c r="P7" s="250"/>
      <c r="Q7" s="251"/>
    </row>
    <row r="8" spans="2:17" x14ac:dyDescent="0.2">
      <c r="B8" s="266"/>
      <c r="C8" s="255"/>
      <c r="D8" s="255"/>
      <c r="E8" s="259"/>
      <c r="F8" s="255"/>
      <c r="G8" s="255"/>
      <c r="H8" s="273"/>
      <c r="I8" s="262"/>
      <c r="J8" s="250"/>
      <c r="K8" s="251"/>
      <c r="L8" s="262"/>
      <c r="M8" s="250"/>
      <c r="N8" s="251"/>
      <c r="O8" s="262"/>
      <c r="P8" s="250"/>
      <c r="Q8" s="251"/>
    </row>
    <row r="9" spans="2:17" ht="13.5" thickBot="1" x14ac:dyDescent="0.25">
      <c r="B9" s="267"/>
      <c r="C9" s="256"/>
      <c r="D9" s="256"/>
      <c r="E9" s="260"/>
      <c r="F9" s="256"/>
      <c r="G9" s="256"/>
      <c r="H9" s="274"/>
      <c r="I9" s="263"/>
      <c r="J9" s="250"/>
      <c r="K9" s="251"/>
      <c r="L9" s="263"/>
      <c r="M9" s="250"/>
      <c r="N9" s="251"/>
      <c r="O9" s="263"/>
      <c r="P9" s="250"/>
      <c r="Q9" s="251"/>
    </row>
    <row r="10" spans="2:17" ht="16.5" thickTop="1" x14ac:dyDescent="0.2">
      <c r="B10" s="72">
        <f t="shared" ref="B10:B16" si="0">B9+1</f>
        <v>1</v>
      </c>
      <c r="C10" s="268" t="s">
        <v>306</v>
      </c>
      <c r="D10" s="269"/>
      <c r="E10" s="269"/>
      <c r="F10" s="269"/>
      <c r="G10" s="269"/>
      <c r="H10" s="270"/>
      <c r="I10" s="44">
        <f>I96+I85+I82+I69+I57+I11</f>
        <v>3582573</v>
      </c>
      <c r="J10" s="44">
        <f>J96+J85+J82+J69+J57+J11</f>
        <v>3469983</v>
      </c>
      <c r="K10" s="198">
        <f t="shared" ref="K10:K19" si="1">J10/I10*100</f>
        <v>96.85728664845071</v>
      </c>
      <c r="L10" s="44">
        <f>L96+L85+L82+L69+L57+L11</f>
        <v>144660</v>
      </c>
      <c r="M10" s="44">
        <f>M96+M85+M82+M69+M57+M11</f>
        <v>106633</v>
      </c>
      <c r="N10" s="210">
        <f>M10/L10*100</f>
        <v>73.712843909857597</v>
      </c>
      <c r="O10" s="44">
        <f t="shared" ref="O10:O21" si="2">I10+L10</f>
        <v>3727233</v>
      </c>
      <c r="P10" s="44">
        <f t="shared" ref="P10:P21" si="3">J10+M10</f>
        <v>3576616</v>
      </c>
      <c r="Q10" s="203">
        <f t="shared" ref="Q10:Q38" si="4">P10/O10*100</f>
        <v>95.959013026553478</v>
      </c>
    </row>
    <row r="11" spans="2:17" ht="15" x14ac:dyDescent="0.2">
      <c r="B11" s="72">
        <f t="shared" si="0"/>
        <v>2</v>
      </c>
      <c r="C11" s="179">
        <v>1</v>
      </c>
      <c r="D11" s="257" t="s">
        <v>205</v>
      </c>
      <c r="E11" s="253"/>
      <c r="F11" s="253"/>
      <c r="G11" s="253"/>
      <c r="H11" s="254"/>
      <c r="I11" s="45">
        <f>I12+I28+I15</f>
        <v>707103</v>
      </c>
      <c r="J11" s="45">
        <f>J12+J28+J15</f>
        <v>613380</v>
      </c>
      <c r="K11" s="198">
        <f t="shared" si="1"/>
        <v>86.745495352162266</v>
      </c>
      <c r="L11" s="45">
        <f>L12+L23+L20</f>
        <v>45100</v>
      </c>
      <c r="M11" s="45">
        <f>M12+M23+M20</f>
        <v>11500</v>
      </c>
      <c r="N11" s="212"/>
      <c r="O11" s="45">
        <f t="shared" si="2"/>
        <v>752203</v>
      </c>
      <c r="P11" s="45">
        <f t="shared" si="3"/>
        <v>624880</v>
      </c>
      <c r="Q11" s="203">
        <f t="shared" si="4"/>
        <v>83.073319303432712</v>
      </c>
    </row>
    <row r="12" spans="2:17" x14ac:dyDescent="0.2">
      <c r="B12" s="72">
        <f t="shared" si="0"/>
        <v>3</v>
      </c>
      <c r="C12" s="12"/>
      <c r="D12" s="12"/>
      <c r="E12" s="12"/>
      <c r="F12" s="52" t="s">
        <v>15</v>
      </c>
      <c r="G12" s="12">
        <v>630</v>
      </c>
      <c r="H12" s="12" t="s">
        <v>127</v>
      </c>
      <c r="I12" s="49">
        <f>I13+I14</f>
        <v>55940</v>
      </c>
      <c r="J12" s="49">
        <f>J13+J14</f>
        <v>54532</v>
      </c>
      <c r="K12" s="198">
        <f t="shared" si="1"/>
        <v>97.483017518770112</v>
      </c>
      <c r="L12" s="49">
        <v>0</v>
      </c>
      <c r="M12" s="49">
        <v>0</v>
      </c>
      <c r="N12" s="207"/>
      <c r="O12" s="49">
        <f t="shared" si="2"/>
        <v>55940</v>
      </c>
      <c r="P12" s="49">
        <f t="shared" si="3"/>
        <v>54532</v>
      </c>
      <c r="Q12" s="203">
        <f t="shared" si="4"/>
        <v>97.483017518770112</v>
      </c>
    </row>
    <row r="13" spans="2:17" x14ac:dyDescent="0.2">
      <c r="B13" s="72">
        <f t="shared" si="0"/>
        <v>4</v>
      </c>
      <c r="C13" s="4"/>
      <c r="D13" s="4"/>
      <c r="E13" s="4"/>
      <c r="F13" s="53" t="s">
        <v>15</v>
      </c>
      <c r="G13" s="4">
        <v>635</v>
      </c>
      <c r="H13" s="4" t="s">
        <v>411</v>
      </c>
      <c r="I13" s="23">
        <f>50000+20000-11560-3500</f>
        <v>54940</v>
      </c>
      <c r="J13" s="23">
        <v>54384</v>
      </c>
      <c r="K13" s="198">
        <f t="shared" si="1"/>
        <v>98.987986894794318</v>
      </c>
      <c r="L13" s="23"/>
      <c r="M13" s="23"/>
      <c r="N13" s="207"/>
      <c r="O13" s="23">
        <f t="shared" si="2"/>
        <v>54940</v>
      </c>
      <c r="P13" s="23">
        <f t="shared" si="3"/>
        <v>54384</v>
      </c>
      <c r="Q13" s="203">
        <f t="shared" si="4"/>
        <v>98.987986894794318</v>
      </c>
    </row>
    <row r="14" spans="2:17" x14ac:dyDescent="0.2">
      <c r="B14" s="72">
        <f t="shared" si="0"/>
        <v>5</v>
      </c>
      <c r="C14" s="4"/>
      <c r="D14" s="4"/>
      <c r="E14" s="4"/>
      <c r="F14" s="53" t="s">
        <v>15</v>
      </c>
      <c r="G14" s="4">
        <v>637</v>
      </c>
      <c r="H14" s="4" t="s">
        <v>723</v>
      </c>
      <c r="I14" s="23">
        <v>1000</v>
      </c>
      <c r="J14" s="23">
        <v>148</v>
      </c>
      <c r="K14" s="198">
        <f t="shared" si="1"/>
        <v>14.799999999999999</v>
      </c>
      <c r="L14" s="23"/>
      <c r="M14" s="23"/>
      <c r="N14" s="207"/>
      <c r="O14" s="23">
        <f t="shared" si="2"/>
        <v>1000</v>
      </c>
      <c r="P14" s="23">
        <f t="shared" si="3"/>
        <v>148</v>
      </c>
      <c r="Q14" s="203">
        <f t="shared" si="4"/>
        <v>14.799999999999999</v>
      </c>
    </row>
    <row r="15" spans="2:17" x14ac:dyDescent="0.2">
      <c r="B15" s="72">
        <f t="shared" si="0"/>
        <v>6</v>
      </c>
      <c r="C15" s="4"/>
      <c r="D15" s="4"/>
      <c r="E15" s="4"/>
      <c r="F15" s="52" t="s">
        <v>204</v>
      </c>
      <c r="G15" s="12">
        <v>630</v>
      </c>
      <c r="H15" s="12" t="s">
        <v>127</v>
      </c>
      <c r="I15" s="49">
        <f>I16+I17+I18+I19</f>
        <v>316858</v>
      </c>
      <c r="J15" s="49">
        <f>J16+J17+J18+J19</f>
        <v>312820</v>
      </c>
      <c r="K15" s="198">
        <f t="shared" si="1"/>
        <v>98.725612103844625</v>
      </c>
      <c r="L15" s="49">
        <v>0</v>
      </c>
      <c r="M15" s="49">
        <v>0</v>
      </c>
      <c r="N15" s="207"/>
      <c r="O15" s="49">
        <f t="shared" si="2"/>
        <v>316858</v>
      </c>
      <c r="P15" s="49">
        <f t="shared" si="3"/>
        <v>312820</v>
      </c>
      <c r="Q15" s="203">
        <f t="shared" si="4"/>
        <v>98.725612103844625</v>
      </c>
    </row>
    <row r="16" spans="2:17" x14ac:dyDescent="0.2">
      <c r="B16" s="72">
        <f t="shared" si="0"/>
        <v>7</v>
      </c>
      <c r="C16" s="4"/>
      <c r="D16" s="4"/>
      <c r="E16" s="4"/>
      <c r="F16" s="53" t="s">
        <v>204</v>
      </c>
      <c r="G16" s="4">
        <v>635</v>
      </c>
      <c r="H16" s="4" t="s">
        <v>605</v>
      </c>
      <c r="I16" s="23">
        <f>11275+2820</f>
        <v>14095</v>
      </c>
      <c r="J16" s="23">
        <v>13812</v>
      </c>
      <c r="K16" s="198">
        <f t="shared" si="1"/>
        <v>97.992195814118475</v>
      </c>
      <c r="L16" s="23"/>
      <c r="M16" s="23"/>
      <c r="N16" s="207"/>
      <c r="O16" s="23">
        <f t="shared" si="2"/>
        <v>14095</v>
      </c>
      <c r="P16" s="23">
        <f t="shared" si="3"/>
        <v>13812</v>
      </c>
      <c r="Q16" s="203">
        <f t="shared" si="4"/>
        <v>97.992195814118475</v>
      </c>
    </row>
    <row r="17" spans="2:17" x14ac:dyDescent="0.2">
      <c r="B17" s="72">
        <f t="shared" ref="B17:B40" si="5">B16+1</f>
        <v>8</v>
      </c>
      <c r="C17" s="4"/>
      <c r="D17" s="4"/>
      <c r="E17" s="4"/>
      <c r="F17" s="53" t="s">
        <v>204</v>
      </c>
      <c r="G17" s="4">
        <v>635</v>
      </c>
      <c r="H17" s="4" t="s">
        <v>606</v>
      </c>
      <c r="I17" s="23">
        <f>51750+12938-650</f>
        <v>64038</v>
      </c>
      <c r="J17" s="23">
        <v>63383</v>
      </c>
      <c r="K17" s="198">
        <f t="shared" si="1"/>
        <v>98.977169805428019</v>
      </c>
      <c r="L17" s="23"/>
      <c r="M17" s="23"/>
      <c r="N17" s="218"/>
      <c r="O17" s="23">
        <f t="shared" si="2"/>
        <v>64038</v>
      </c>
      <c r="P17" s="23">
        <f t="shared" si="3"/>
        <v>63383</v>
      </c>
      <c r="Q17" s="203">
        <f t="shared" si="4"/>
        <v>98.977169805428019</v>
      </c>
    </row>
    <row r="18" spans="2:17" x14ac:dyDescent="0.2">
      <c r="B18" s="72">
        <f t="shared" si="5"/>
        <v>9</v>
      </c>
      <c r="C18" s="4"/>
      <c r="D18" s="4"/>
      <c r="E18" s="4"/>
      <c r="F18" s="53" t="s">
        <v>204</v>
      </c>
      <c r="G18" s="4">
        <v>635</v>
      </c>
      <c r="H18" s="4" t="s">
        <v>607</v>
      </c>
      <c r="I18" s="23">
        <f>63850+21100+650</f>
        <v>85600</v>
      </c>
      <c r="J18" s="23">
        <v>85573</v>
      </c>
      <c r="K18" s="198">
        <f t="shared" si="1"/>
        <v>99.968457943925245</v>
      </c>
      <c r="L18" s="23"/>
      <c r="M18" s="23"/>
      <c r="N18" s="218"/>
      <c r="O18" s="23">
        <f t="shared" si="2"/>
        <v>85600</v>
      </c>
      <c r="P18" s="23">
        <f t="shared" si="3"/>
        <v>85573</v>
      </c>
      <c r="Q18" s="203">
        <f t="shared" si="4"/>
        <v>99.968457943925245</v>
      </c>
    </row>
    <row r="19" spans="2:17" x14ac:dyDescent="0.2">
      <c r="B19" s="72">
        <f t="shared" si="5"/>
        <v>10</v>
      </c>
      <c r="C19" s="4"/>
      <c r="D19" s="4"/>
      <c r="E19" s="4"/>
      <c r="F19" s="53" t="s">
        <v>204</v>
      </c>
      <c r="G19" s="4">
        <v>635</v>
      </c>
      <c r="H19" s="4" t="s">
        <v>608</v>
      </c>
      <c r="I19" s="23">
        <f>122500+30625</f>
        <v>153125</v>
      </c>
      <c r="J19" s="23">
        <v>150052</v>
      </c>
      <c r="K19" s="198">
        <f t="shared" si="1"/>
        <v>97.993142857142857</v>
      </c>
      <c r="L19" s="23"/>
      <c r="M19" s="23"/>
      <c r="N19" s="218"/>
      <c r="O19" s="23">
        <f t="shared" si="2"/>
        <v>153125</v>
      </c>
      <c r="P19" s="23">
        <f t="shared" si="3"/>
        <v>150052</v>
      </c>
      <c r="Q19" s="203">
        <f t="shared" si="4"/>
        <v>97.993142857142857</v>
      </c>
    </row>
    <row r="20" spans="2:17" x14ac:dyDescent="0.2">
      <c r="B20" s="72">
        <f t="shared" si="5"/>
        <v>11</v>
      </c>
      <c r="C20" s="4"/>
      <c r="D20" s="4"/>
      <c r="E20" s="4"/>
      <c r="F20" s="52" t="s">
        <v>15</v>
      </c>
      <c r="G20" s="12">
        <v>710</v>
      </c>
      <c r="H20" s="12" t="s">
        <v>183</v>
      </c>
      <c r="I20" s="49">
        <v>0</v>
      </c>
      <c r="J20" s="49">
        <v>0</v>
      </c>
      <c r="K20" s="198"/>
      <c r="L20" s="49">
        <f>L21</f>
        <v>26100</v>
      </c>
      <c r="M20" s="49">
        <f>M21</f>
        <v>10300</v>
      </c>
      <c r="N20" s="218">
        <f t="shared" ref="N20:N27" si="6">M20/L20*100</f>
        <v>39.463601532567047</v>
      </c>
      <c r="O20" s="49">
        <f t="shared" si="2"/>
        <v>26100</v>
      </c>
      <c r="P20" s="49">
        <f t="shared" si="3"/>
        <v>10300</v>
      </c>
      <c r="Q20" s="203">
        <f t="shared" si="4"/>
        <v>39.463601532567047</v>
      </c>
    </row>
    <row r="21" spans="2:17" x14ac:dyDescent="0.2">
      <c r="B21" s="72">
        <f t="shared" si="5"/>
        <v>12</v>
      </c>
      <c r="C21" s="4"/>
      <c r="D21" s="4"/>
      <c r="E21" s="4"/>
      <c r="F21" s="82" t="s">
        <v>15</v>
      </c>
      <c r="G21" s="83">
        <v>717</v>
      </c>
      <c r="H21" s="83" t="s">
        <v>193</v>
      </c>
      <c r="I21" s="84"/>
      <c r="J21" s="84"/>
      <c r="K21" s="198"/>
      <c r="L21" s="84">
        <f>L22</f>
        <v>26100</v>
      </c>
      <c r="M21" s="84">
        <f>M22</f>
        <v>10300</v>
      </c>
      <c r="N21" s="218">
        <f t="shared" si="6"/>
        <v>39.463601532567047</v>
      </c>
      <c r="O21" s="84">
        <f t="shared" si="2"/>
        <v>26100</v>
      </c>
      <c r="P21" s="84">
        <f t="shared" si="3"/>
        <v>10300</v>
      </c>
      <c r="Q21" s="203">
        <f t="shared" si="4"/>
        <v>39.463601532567047</v>
      </c>
    </row>
    <row r="22" spans="2:17" x14ac:dyDescent="0.2">
      <c r="B22" s="72">
        <f t="shared" si="5"/>
        <v>13</v>
      </c>
      <c r="C22" s="4"/>
      <c r="D22" s="4"/>
      <c r="E22" s="4"/>
      <c r="F22" s="53"/>
      <c r="G22" s="4"/>
      <c r="H22" s="4" t="s">
        <v>601</v>
      </c>
      <c r="I22" s="23"/>
      <c r="J22" s="23"/>
      <c r="K22" s="198"/>
      <c r="L22" s="23">
        <f>2100+24000</f>
        <v>26100</v>
      </c>
      <c r="M22" s="23">
        <v>10300</v>
      </c>
      <c r="N22" s="218">
        <f t="shared" si="6"/>
        <v>39.463601532567047</v>
      </c>
      <c r="O22" s="23">
        <f>L22</f>
        <v>26100</v>
      </c>
      <c r="P22" s="23">
        <f>M22</f>
        <v>10300</v>
      </c>
      <c r="Q22" s="203">
        <f t="shared" si="4"/>
        <v>39.463601532567047</v>
      </c>
    </row>
    <row r="23" spans="2:17" x14ac:dyDescent="0.2">
      <c r="B23" s="72">
        <f t="shared" si="5"/>
        <v>14</v>
      </c>
      <c r="C23" s="4"/>
      <c r="D23" s="4"/>
      <c r="E23" s="4"/>
      <c r="F23" s="52" t="s">
        <v>204</v>
      </c>
      <c r="G23" s="12">
        <v>710</v>
      </c>
      <c r="H23" s="12" t="s">
        <v>183</v>
      </c>
      <c r="I23" s="49">
        <v>0</v>
      </c>
      <c r="J23" s="49">
        <v>0</v>
      </c>
      <c r="K23" s="198"/>
      <c r="L23" s="49">
        <f>L24</f>
        <v>19000</v>
      </c>
      <c r="M23" s="49">
        <f>M24</f>
        <v>1200</v>
      </c>
      <c r="N23" s="218">
        <f t="shared" si="6"/>
        <v>6.3157894736842106</v>
      </c>
      <c r="O23" s="49">
        <f t="shared" ref="O23:O38" si="7">I23+L23</f>
        <v>19000</v>
      </c>
      <c r="P23" s="49">
        <f t="shared" ref="P23:P38" si="8">J23+M23</f>
        <v>1200</v>
      </c>
      <c r="Q23" s="203">
        <f t="shared" si="4"/>
        <v>6.3157894736842106</v>
      </c>
    </row>
    <row r="24" spans="2:17" x14ac:dyDescent="0.2">
      <c r="B24" s="72">
        <f t="shared" si="5"/>
        <v>15</v>
      </c>
      <c r="C24" s="4"/>
      <c r="D24" s="4"/>
      <c r="E24" s="4"/>
      <c r="F24" s="82" t="s">
        <v>204</v>
      </c>
      <c r="G24" s="83">
        <v>717</v>
      </c>
      <c r="H24" s="83" t="s">
        <v>193</v>
      </c>
      <c r="I24" s="84"/>
      <c r="J24" s="84"/>
      <c r="K24" s="198"/>
      <c r="L24" s="84">
        <f>SUM(L25:L27)</f>
        <v>19000</v>
      </c>
      <c r="M24" s="84">
        <f>SUM(M25:M27)</f>
        <v>1200</v>
      </c>
      <c r="N24" s="218">
        <f t="shared" si="6"/>
        <v>6.3157894736842106</v>
      </c>
      <c r="O24" s="84">
        <f t="shared" si="7"/>
        <v>19000</v>
      </c>
      <c r="P24" s="84">
        <f t="shared" si="8"/>
        <v>1200</v>
      </c>
      <c r="Q24" s="203">
        <f t="shared" si="4"/>
        <v>6.3157894736842106</v>
      </c>
    </row>
    <row r="25" spans="2:17" x14ac:dyDescent="0.2">
      <c r="B25" s="72">
        <f t="shared" si="5"/>
        <v>16</v>
      </c>
      <c r="C25" s="75"/>
      <c r="D25" s="75"/>
      <c r="E25" s="75"/>
      <c r="F25" s="142" t="s">
        <v>204</v>
      </c>
      <c r="G25" s="138">
        <v>717</v>
      </c>
      <c r="H25" s="138" t="s">
        <v>563</v>
      </c>
      <c r="I25" s="134"/>
      <c r="J25" s="134"/>
      <c r="K25" s="198"/>
      <c r="L25" s="134">
        <v>7000</v>
      </c>
      <c r="M25" s="134"/>
      <c r="N25" s="219">
        <f t="shared" si="6"/>
        <v>0</v>
      </c>
      <c r="O25" s="134">
        <f t="shared" si="7"/>
        <v>7000</v>
      </c>
      <c r="P25" s="134">
        <f t="shared" si="8"/>
        <v>0</v>
      </c>
      <c r="Q25" s="203">
        <f t="shared" si="4"/>
        <v>0</v>
      </c>
    </row>
    <row r="26" spans="2:17" ht="24" x14ac:dyDescent="0.2">
      <c r="B26" s="72">
        <f t="shared" si="5"/>
        <v>17</v>
      </c>
      <c r="C26" s="75"/>
      <c r="D26" s="75"/>
      <c r="E26" s="75"/>
      <c r="F26" s="142" t="s">
        <v>204</v>
      </c>
      <c r="G26" s="138">
        <v>717</v>
      </c>
      <c r="H26" s="139" t="s">
        <v>564</v>
      </c>
      <c r="I26" s="134"/>
      <c r="J26" s="134"/>
      <c r="K26" s="198"/>
      <c r="L26" s="134">
        <v>3000</v>
      </c>
      <c r="M26" s="134"/>
      <c r="N26" s="219">
        <f t="shared" si="6"/>
        <v>0</v>
      </c>
      <c r="O26" s="134">
        <f t="shared" si="7"/>
        <v>3000</v>
      </c>
      <c r="P26" s="134">
        <f t="shared" si="8"/>
        <v>0</v>
      </c>
      <c r="Q26" s="203">
        <f t="shared" si="4"/>
        <v>0</v>
      </c>
    </row>
    <row r="27" spans="2:17" x14ac:dyDescent="0.2">
      <c r="B27" s="72">
        <f t="shared" si="5"/>
        <v>18</v>
      </c>
      <c r="C27" s="75"/>
      <c r="D27" s="75"/>
      <c r="E27" s="75"/>
      <c r="F27" s="142" t="s">
        <v>204</v>
      </c>
      <c r="G27" s="138">
        <v>717</v>
      </c>
      <c r="H27" s="138" t="s">
        <v>565</v>
      </c>
      <c r="I27" s="134"/>
      <c r="J27" s="134"/>
      <c r="K27" s="198"/>
      <c r="L27" s="134">
        <v>9000</v>
      </c>
      <c r="M27" s="134">
        <v>1200</v>
      </c>
      <c r="N27" s="219">
        <f t="shared" si="6"/>
        <v>13.333333333333334</v>
      </c>
      <c r="O27" s="134">
        <f t="shared" si="7"/>
        <v>9000</v>
      </c>
      <c r="P27" s="134">
        <f t="shared" si="8"/>
        <v>1200</v>
      </c>
      <c r="Q27" s="203">
        <f t="shared" si="4"/>
        <v>13.333333333333334</v>
      </c>
    </row>
    <row r="28" spans="2:17" ht="15" x14ac:dyDescent="0.2">
      <c r="B28" s="72">
        <f t="shared" si="5"/>
        <v>19</v>
      </c>
      <c r="C28" s="143"/>
      <c r="D28" s="143"/>
      <c r="E28" s="143">
        <v>2</v>
      </c>
      <c r="F28" s="144"/>
      <c r="G28" s="143"/>
      <c r="H28" s="143" t="s">
        <v>256</v>
      </c>
      <c r="I28" s="145">
        <f>I29+I30+I31+I38+I40+I41+I42+I53+I55</f>
        <v>334305</v>
      </c>
      <c r="J28" s="145">
        <f>J29+J30+J31+J38+J40+J41+J42+J53+J55</f>
        <v>246028</v>
      </c>
      <c r="K28" s="198">
        <f t="shared" ref="K28:K38" si="9">J28/I28*100</f>
        <v>73.593873857704793</v>
      </c>
      <c r="L28" s="145">
        <v>0</v>
      </c>
      <c r="M28" s="145">
        <v>0</v>
      </c>
      <c r="N28" s="219"/>
      <c r="O28" s="145">
        <f t="shared" si="7"/>
        <v>334305</v>
      </c>
      <c r="P28" s="145">
        <f t="shared" si="8"/>
        <v>246028</v>
      </c>
      <c r="Q28" s="203">
        <f t="shared" si="4"/>
        <v>73.593873857704793</v>
      </c>
    </row>
    <row r="29" spans="2:17" x14ac:dyDescent="0.2">
      <c r="B29" s="72">
        <f t="shared" si="5"/>
        <v>20</v>
      </c>
      <c r="C29" s="12"/>
      <c r="D29" s="12"/>
      <c r="E29" s="12"/>
      <c r="F29" s="52" t="s">
        <v>15</v>
      </c>
      <c r="G29" s="12">
        <v>610</v>
      </c>
      <c r="H29" s="12" t="s">
        <v>135</v>
      </c>
      <c r="I29" s="49">
        <f>23500+11920</f>
        <v>35420</v>
      </c>
      <c r="J29" s="49">
        <f>11920+23500</f>
        <v>35420</v>
      </c>
      <c r="K29" s="198">
        <f t="shared" si="9"/>
        <v>100</v>
      </c>
      <c r="L29" s="49"/>
      <c r="M29" s="49"/>
      <c r="N29" s="218"/>
      <c r="O29" s="49">
        <f t="shared" si="7"/>
        <v>35420</v>
      </c>
      <c r="P29" s="49">
        <f t="shared" si="8"/>
        <v>35420</v>
      </c>
      <c r="Q29" s="203">
        <f t="shared" si="4"/>
        <v>100</v>
      </c>
    </row>
    <row r="30" spans="2:17" x14ac:dyDescent="0.2">
      <c r="B30" s="72">
        <f t="shared" si="5"/>
        <v>21</v>
      </c>
      <c r="C30" s="12"/>
      <c r="D30" s="12"/>
      <c r="E30" s="12"/>
      <c r="F30" s="52" t="s">
        <v>15</v>
      </c>
      <c r="G30" s="12">
        <v>620</v>
      </c>
      <c r="H30" s="12" t="s">
        <v>130</v>
      </c>
      <c r="I30" s="49">
        <f>8550+4520</f>
        <v>13070</v>
      </c>
      <c r="J30" s="49">
        <f>4166+8238</f>
        <v>12404</v>
      </c>
      <c r="K30" s="198">
        <f t="shared" si="9"/>
        <v>94.904361132364187</v>
      </c>
      <c r="L30" s="49"/>
      <c r="M30" s="49"/>
      <c r="N30" s="218"/>
      <c r="O30" s="49">
        <f t="shared" si="7"/>
        <v>13070</v>
      </c>
      <c r="P30" s="49">
        <f t="shared" si="8"/>
        <v>12404</v>
      </c>
      <c r="Q30" s="203">
        <f t="shared" si="4"/>
        <v>94.904361132364187</v>
      </c>
    </row>
    <row r="31" spans="2:17" x14ac:dyDescent="0.2">
      <c r="B31" s="72">
        <f t="shared" si="5"/>
        <v>22</v>
      </c>
      <c r="C31" s="12"/>
      <c r="D31" s="12"/>
      <c r="E31" s="12"/>
      <c r="F31" s="52" t="s">
        <v>15</v>
      </c>
      <c r="G31" s="12">
        <v>630</v>
      </c>
      <c r="H31" s="12" t="s">
        <v>127</v>
      </c>
      <c r="I31" s="49">
        <f>I37+I36+I35+I34+I33+I32</f>
        <v>36060</v>
      </c>
      <c r="J31" s="49">
        <f>J37+J36+J35+J34+J33+J32</f>
        <v>24677</v>
      </c>
      <c r="K31" s="198">
        <f t="shared" si="9"/>
        <v>68.433166943982243</v>
      </c>
      <c r="L31" s="49">
        <f>L37+L36+L35+L34+L33+L32</f>
        <v>0</v>
      </c>
      <c r="M31" s="49">
        <f>M37+M36+M35+M34+M33+M32</f>
        <v>0</v>
      </c>
      <c r="N31" s="207"/>
      <c r="O31" s="49">
        <f t="shared" si="7"/>
        <v>36060</v>
      </c>
      <c r="P31" s="49">
        <f t="shared" si="8"/>
        <v>24677</v>
      </c>
      <c r="Q31" s="203">
        <f t="shared" si="4"/>
        <v>68.433166943982243</v>
      </c>
    </row>
    <row r="32" spans="2:17" x14ac:dyDescent="0.2">
      <c r="B32" s="72">
        <f t="shared" si="5"/>
        <v>23</v>
      </c>
      <c r="C32" s="4"/>
      <c r="D32" s="4"/>
      <c r="E32" s="4"/>
      <c r="F32" s="53" t="s">
        <v>15</v>
      </c>
      <c r="G32" s="4">
        <v>631</v>
      </c>
      <c r="H32" s="4" t="s">
        <v>133</v>
      </c>
      <c r="I32" s="23">
        <v>50</v>
      </c>
      <c r="J32" s="23">
        <v>0</v>
      </c>
      <c r="K32" s="198">
        <f t="shared" si="9"/>
        <v>0</v>
      </c>
      <c r="L32" s="23"/>
      <c r="M32" s="23"/>
      <c r="N32" s="207"/>
      <c r="O32" s="23">
        <f t="shared" si="7"/>
        <v>50</v>
      </c>
      <c r="P32" s="23">
        <f t="shared" si="8"/>
        <v>0</v>
      </c>
      <c r="Q32" s="203">
        <f t="shared" si="4"/>
        <v>0</v>
      </c>
    </row>
    <row r="33" spans="2:17" x14ac:dyDescent="0.2">
      <c r="B33" s="72">
        <f t="shared" si="5"/>
        <v>24</v>
      </c>
      <c r="C33" s="4"/>
      <c r="D33" s="4"/>
      <c r="E33" s="4"/>
      <c r="F33" s="53" t="s">
        <v>15</v>
      </c>
      <c r="G33" s="4">
        <v>632</v>
      </c>
      <c r="H33" s="4" t="s">
        <v>138</v>
      </c>
      <c r="I33" s="23">
        <v>3350</v>
      </c>
      <c r="J33" s="23">
        <f>990+247</f>
        <v>1237</v>
      </c>
      <c r="K33" s="198">
        <f t="shared" si="9"/>
        <v>36.92537313432836</v>
      </c>
      <c r="L33" s="23"/>
      <c r="M33" s="23"/>
      <c r="N33" s="207"/>
      <c r="O33" s="23">
        <f t="shared" si="7"/>
        <v>3350</v>
      </c>
      <c r="P33" s="23">
        <f t="shared" si="8"/>
        <v>1237</v>
      </c>
      <c r="Q33" s="203">
        <f t="shared" si="4"/>
        <v>36.92537313432836</v>
      </c>
    </row>
    <row r="34" spans="2:17" x14ac:dyDescent="0.2">
      <c r="B34" s="72">
        <f t="shared" si="5"/>
        <v>25</v>
      </c>
      <c r="C34" s="4"/>
      <c r="D34" s="4"/>
      <c r="E34" s="4"/>
      <c r="F34" s="53" t="s">
        <v>15</v>
      </c>
      <c r="G34" s="4">
        <v>633</v>
      </c>
      <c r="H34" s="4" t="s">
        <v>131</v>
      </c>
      <c r="I34" s="23">
        <f>7600+3020+1000</f>
        <v>11620</v>
      </c>
      <c r="J34" s="23">
        <f>5717+4215</f>
        <v>9932</v>
      </c>
      <c r="K34" s="198">
        <f t="shared" si="9"/>
        <v>85.473321858864026</v>
      </c>
      <c r="L34" s="23"/>
      <c r="M34" s="23"/>
      <c r="N34" s="207"/>
      <c r="O34" s="23">
        <f t="shared" si="7"/>
        <v>11620</v>
      </c>
      <c r="P34" s="23">
        <f t="shared" si="8"/>
        <v>9932</v>
      </c>
      <c r="Q34" s="203">
        <f t="shared" si="4"/>
        <v>85.473321858864026</v>
      </c>
    </row>
    <row r="35" spans="2:17" x14ac:dyDescent="0.2">
      <c r="B35" s="72">
        <f t="shared" si="5"/>
        <v>26</v>
      </c>
      <c r="C35" s="4"/>
      <c r="D35" s="4"/>
      <c r="E35" s="4"/>
      <c r="F35" s="53" t="s">
        <v>15</v>
      </c>
      <c r="G35" s="4">
        <v>634</v>
      </c>
      <c r="H35" s="4" t="s">
        <v>136</v>
      </c>
      <c r="I35" s="23">
        <v>2670</v>
      </c>
      <c r="J35" s="23">
        <f>186+1692</f>
        <v>1878</v>
      </c>
      <c r="K35" s="198">
        <f t="shared" si="9"/>
        <v>70.337078651685388</v>
      </c>
      <c r="L35" s="23"/>
      <c r="M35" s="23"/>
      <c r="N35" s="207"/>
      <c r="O35" s="23">
        <f t="shared" si="7"/>
        <v>2670</v>
      </c>
      <c r="P35" s="23">
        <f t="shared" si="8"/>
        <v>1878</v>
      </c>
      <c r="Q35" s="203">
        <f t="shared" si="4"/>
        <v>70.337078651685388</v>
      </c>
    </row>
    <row r="36" spans="2:17" x14ac:dyDescent="0.2">
      <c r="B36" s="72">
        <f t="shared" si="5"/>
        <v>27</v>
      </c>
      <c r="C36" s="4"/>
      <c r="D36" s="4"/>
      <c r="E36" s="4"/>
      <c r="F36" s="53" t="s">
        <v>15</v>
      </c>
      <c r="G36" s="4">
        <v>635</v>
      </c>
      <c r="H36" s="4" t="s">
        <v>137</v>
      </c>
      <c r="I36" s="23">
        <f>1300+5200+2500</f>
        <v>9000</v>
      </c>
      <c r="J36" s="23">
        <f>4900+442</f>
        <v>5342</v>
      </c>
      <c r="K36" s="198">
        <f t="shared" si="9"/>
        <v>59.355555555555547</v>
      </c>
      <c r="L36" s="23"/>
      <c r="M36" s="23"/>
      <c r="N36" s="207"/>
      <c r="O36" s="23">
        <f t="shared" si="7"/>
        <v>9000</v>
      </c>
      <c r="P36" s="23">
        <f t="shared" si="8"/>
        <v>5342</v>
      </c>
      <c r="Q36" s="203">
        <f t="shared" si="4"/>
        <v>59.355555555555547</v>
      </c>
    </row>
    <row r="37" spans="2:17" x14ac:dyDescent="0.2">
      <c r="B37" s="72">
        <f t="shared" si="5"/>
        <v>28</v>
      </c>
      <c r="C37" s="4"/>
      <c r="D37" s="4"/>
      <c r="E37" s="4"/>
      <c r="F37" s="53" t="s">
        <v>15</v>
      </c>
      <c r="G37" s="4">
        <v>637</v>
      </c>
      <c r="H37" s="4" t="s">
        <v>128</v>
      </c>
      <c r="I37" s="23">
        <f>7900+1540-70</f>
        <v>9370</v>
      </c>
      <c r="J37" s="23">
        <f>2194+4094</f>
        <v>6288</v>
      </c>
      <c r="K37" s="198">
        <f t="shared" si="9"/>
        <v>67.107790821771601</v>
      </c>
      <c r="L37" s="23"/>
      <c r="M37" s="23"/>
      <c r="N37" s="207"/>
      <c r="O37" s="23">
        <f t="shared" si="7"/>
        <v>9370</v>
      </c>
      <c r="P37" s="23">
        <f t="shared" si="8"/>
        <v>6288</v>
      </c>
      <c r="Q37" s="203">
        <f t="shared" si="4"/>
        <v>67.107790821771601</v>
      </c>
    </row>
    <row r="38" spans="2:17" x14ac:dyDescent="0.2">
      <c r="B38" s="72">
        <f t="shared" si="5"/>
        <v>29</v>
      </c>
      <c r="C38" s="12"/>
      <c r="D38" s="12"/>
      <c r="E38" s="12"/>
      <c r="F38" s="52" t="s">
        <v>15</v>
      </c>
      <c r="G38" s="12">
        <v>640</v>
      </c>
      <c r="H38" s="12" t="s">
        <v>134</v>
      </c>
      <c r="I38" s="49">
        <f>190+70</f>
        <v>260</v>
      </c>
      <c r="J38" s="49">
        <v>258</v>
      </c>
      <c r="K38" s="198">
        <f t="shared" si="9"/>
        <v>99.230769230769226</v>
      </c>
      <c r="L38" s="49"/>
      <c r="M38" s="49"/>
      <c r="N38" s="207"/>
      <c r="O38" s="49">
        <f t="shared" si="7"/>
        <v>260</v>
      </c>
      <c r="P38" s="49">
        <f t="shared" si="8"/>
        <v>258</v>
      </c>
      <c r="Q38" s="203">
        <f t="shared" si="4"/>
        <v>99.230769230769226</v>
      </c>
    </row>
    <row r="39" spans="2:17" x14ac:dyDescent="0.2">
      <c r="B39" s="72">
        <f t="shared" si="5"/>
        <v>30</v>
      </c>
      <c r="C39" s="12"/>
      <c r="D39" s="12"/>
      <c r="E39" s="12"/>
      <c r="F39" s="52"/>
      <c r="G39" s="12"/>
      <c r="H39" s="12"/>
      <c r="I39" s="49"/>
      <c r="J39" s="49"/>
      <c r="K39" s="198"/>
      <c r="L39" s="49"/>
      <c r="M39" s="49"/>
      <c r="N39" s="207"/>
      <c r="O39" s="49"/>
      <c r="P39" s="49"/>
      <c r="Q39" s="203"/>
    </row>
    <row r="40" spans="2:17" x14ac:dyDescent="0.2">
      <c r="B40" s="72">
        <f t="shared" si="5"/>
        <v>31</v>
      </c>
      <c r="C40" s="12"/>
      <c r="D40" s="12"/>
      <c r="E40" s="12"/>
      <c r="F40" s="52" t="s">
        <v>204</v>
      </c>
      <c r="G40" s="12">
        <v>610</v>
      </c>
      <c r="H40" s="12" t="s">
        <v>135</v>
      </c>
      <c r="I40" s="49">
        <v>66300</v>
      </c>
      <c r="J40" s="49">
        <v>66300</v>
      </c>
      <c r="K40" s="198">
        <f t="shared" ref="K40:K53" si="10">J40/I40*100</f>
        <v>100</v>
      </c>
      <c r="L40" s="49"/>
      <c r="M40" s="49"/>
      <c r="N40" s="207"/>
      <c r="O40" s="49">
        <f t="shared" ref="O40:O53" si="11">I40+L40</f>
        <v>66300</v>
      </c>
      <c r="P40" s="49">
        <f t="shared" ref="P40:P53" si="12">J40+M40</f>
        <v>66300</v>
      </c>
      <c r="Q40" s="203">
        <f t="shared" ref="Q40:Q53" si="13">P40/O40*100</f>
        <v>100</v>
      </c>
    </row>
    <row r="41" spans="2:17" x14ac:dyDescent="0.2">
      <c r="B41" s="72">
        <f t="shared" ref="B41:B72" si="14">B40+1</f>
        <v>32</v>
      </c>
      <c r="C41" s="12"/>
      <c r="D41" s="12"/>
      <c r="E41" s="12"/>
      <c r="F41" s="52" t="s">
        <v>204</v>
      </c>
      <c r="G41" s="12">
        <v>620</v>
      </c>
      <c r="H41" s="12" t="s">
        <v>130</v>
      </c>
      <c r="I41" s="49">
        <f>99020-72520+3500</f>
        <v>30000</v>
      </c>
      <c r="J41" s="49">
        <v>28605</v>
      </c>
      <c r="K41" s="198">
        <f t="shared" si="10"/>
        <v>95.35</v>
      </c>
      <c r="L41" s="49"/>
      <c r="M41" s="49"/>
      <c r="N41" s="207"/>
      <c r="O41" s="49">
        <f t="shared" si="11"/>
        <v>30000</v>
      </c>
      <c r="P41" s="49">
        <f t="shared" si="12"/>
        <v>28605</v>
      </c>
      <c r="Q41" s="203">
        <f t="shared" si="13"/>
        <v>95.35</v>
      </c>
    </row>
    <row r="42" spans="2:17" x14ac:dyDescent="0.2">
      <c r="B42" s="72">
        <f t="shared" si="14"/>
        <v>33</v>
      </c>
      <c r="C42" s="12"/>
      <c r="D42" s="12"/>
      <c r="E42" s="12"/>
      <c r="F42" s="52" t="s">
        <v>204</v>
      </c>
      <c r="G42" s="12">
        <v>630</v>
      </c>
      <c r="H42" s="12" t="s">
        <v>127</v>
      </c>
      <c r="I42" s="49">
        <f>I50+I49+I45+I44+I43+I46+I47+I51+I52+I48</f>
        <v>92895</v>
      </c>
      <c r="J42" s="49">
        <f>J50+J49+J45+J44+J43+J46+J47+J51+J52+J48</f>
        <v>50401</v>
      </c>
      <c r="K42" s="198">
        <f t="shared" si="10"/>
        <v>54.255880294956668</v>
      </c>
      <c r="L42" s="49">
        <f>L50+L49+L45+L44+L43</f>
        <v>0</v>
      </c>
      <c r="M42" s="49">
        <f>M50+M49+M45+M44+M43</f>
        <v>0</v>
      </c>
      <c r="N42" s="207"/>
      <c r="O42" s="49">
        <f t="shared" si="11"/>
        <v>92895</v>
      </c>
      <c r="P42" s="49">
        <f t="shared" si="12"/>
        <v>50401</v>
      </c>
      <c r="Q42" s="203">
        <f t="shared" si="13"/>
        <v>54.255880294956668</v>
      </c>
    </row>
    <row r="43" spans="2:17" x14ac:dyDescent="0.2">
      <c r="B43" s="72">
        <f t="shared" si="14"/>
        <v>34</v>
      </c>
      <c r="C43" s="4"/>
      <c r="D43" s="4"/>
      <c r="E43" s="4"/>
      <c r="F43" s="53" t="s">
        <v>204</v>
      </c>
      <c r="G43" s="4">
        <v>633</v>
      </c>
      <c r="H43" s="4" t="s">
        <v>131</v>
      </c>
      <c r="I43" s="23">
        <f>26750-4000-3500</f>
        <v>19250</v>
      </c>
      <c r="J43" s="23">
        <f>30828-21700+1</f>
        <v>9129</v>
      </c>
      <c r="K43" s="198">
        <f t="shared" si="10"/>
        <v>47.423376623376626</v>
      </c>
      <c r="L43" s="23"/>
      <c r="M43" s="23"/>
      <c r="N43" s="207"/>
      <c r="O43" s="23">
        <f t="shared" si="11"/>
        <v>19250</v>
      </c>
      <c r="P43" s="23">
        <f t="shared" si="12"/>
        <v>9129</v>
      </c>
      <c r="Q43" s="203">
        <f t="shared" si="13"/>
        <v>47.423376623376626</v>
      </c>
    </row>
    <row r="44" spans="2:17" x14ac:dyDescent="0.2">
      <c r="B44" s="72">
        <f t="shared" si="14"/>
        <v>35</v>
      </c>
      <c r="C44" s="4"/>
      <c r="D44" s="4"/>
      <c r="E44" s="4"/>
      <c r="F44" s="53" t="s">
        <v>204</v>
      </c>
      <c r="G44" s="4">
        <v>634</v>
      </c>
      <c r="H44" s="4" t="s">
        <v>136</v>
      </c>
      <c r="I44" s="23">
        <v>20300</v>
      </c>
      <c r="J44" s="23">
        <v>15928</v>
      </c>
      <c r="K44" s="198">
        <f t="shared" si="10"/>
        <v>78.463054187192114</v>
      </c>
      <c r="L44" s="23"/>
      <c r="M44" s="23"/>
      <c r="N44" s="207"/>
      <c r="O44" s="23">
        <f t="shared" si="11"/>
        <v>20300</v>
      </c>
      <c r="P44" s="23">
        <f t="shared" si="12"/>
        <v>15928</v>
      </c>
      <c r="Q44" s="203">
        <f t="shared" si="13"/>
        <v>78.463054187192114</v>
      </c>
    </row>
    <row r="45" spans="2:17" x14ac:dyDescent="0.2">
      <c r="B45" s="72">
        <f t="shared" si="14"/>
        <v>36</v>
      </c>
      <c r="C45" s="4"/>
      <c r="D45" s="4"/>
      <c r="E45" s="4"/>
      <c r="F45" s="53" t="s">
        <v>204</v>
      </c>
      <c r="G45" s="4">
        <v>635</v>
      </c>
      <c r="H45" s="4" t="s">
        <v>137</v>
      </c>
      <c r="I45" s="23">
        <f>13000+278550-29000-249375-5200</f>
        <v>7975</v>
      </c>
      <c r="J45" s="23">
        <f>20996-J46-J47-J48-5969</f>
        <v>4329</v>
      </c>
      <c r="K45" s="198">
        <f t="shared" si="10"/>
        <v>54.282131661442001</v>
      </c>
      <c r="L45" s="23"/>
      <c r="M45" s="23"/>
      <c r="N45" s="207"/>
      <c r="O45" s="23">
        <f t="shared" si="11"/>
        <v>7975</v>
      </c>
      <c r="P45" s="23">
        <f t="shared" si="12"/>
        <v>4329</v>
      </c>
      <c r="Q45" s="203">
        <f t="shared" si="13"/>
        <v>54.282131661442001</v>
      </c>
    </row>
    <row r="46" spans="2:17" x14ac:dyDescent="0.2">
      <c r="B46" s="72">
        <f t="shared" si="14"/>
        <v>37</v>
      </c>
      <c r="C46" s="4"/>
      <c r="D46" s="4"/>
      <c r="E46" s="4"/>
      <c r="F46" s="53" t="s">
        <v>204</v>
      </c>
      <c r="G46" s="4">
        <v>635</v>
      </c>
      <c r="H46" s="4" t="s">
        <v>673</v>
      </c>
      <c r="I46" s="23">
        <v>7700</v>
      </c>
      <c r="J46" s="23">
        <v>7700</v>
      </c>
      <c r="K46" s="198">
        <f t="shared" si="10"/>
        <v>100</v>
      </c>
      <c r="L46" s="23"/>
      <c r="M46" s="23"/>
      <c r="N46" s="207"/>
      <c r="O46" s="23">
        <f t="shared" si="11"/>
        <v>7700</v>
      </c>
      <c r="P46" s="23">
        <f t="shared" si="12"/>
        <v>7700</v>
      </c>
      <c r="Q46" s="203">
        <f t="shared" si="13"/>
        <v>100</v>
      </c>
    </row>
    <row r="47" spans="2:17" ht="24" x14ac:dyDescent="0.2">
      <c r="B47" s="71">
        <f t="shared" si="14"/>
        <v>38</v>
      </c>
      <c r="C47" s="75"/>
      <c r="D47" s="75"/>
      <c r="E47" s="75"/>
      <c r="F47" s="76" t="s">
        <v>204</v>
      </c>
      <c r="G47" s="75">
        <v>635</v>
      </c>
      <c r="H47" s="77" t="s">
        <v>674</v>
      </c>
      <c r="I47" s="62">
        <v>3000</v>
      </c>
      <c r="J47" s="62">
        <v>2998</v>
      </c>
      <c r="K47" s="198">
        <f t="shared" si="10"/>
        <v>99.933333333333323</v>
      </c>
      <c r="L47" s="62"/>
      <c r="M47" s="62"/>
      <c r="N47" s="208"/>
      <c r="O47" s="62">
        <f t="shared" si="11"/>
        <v>3000</v>
      </c>
      <c r="P47" s="62">
        <f t="shared" si="12"/>
        <v>2998</v>
      </c>
      <c r="Q47" s="203">
        <f t="shared" si="13"/>
        <v>99.933333333333323</v>
      </c>
    </row>
    <row r="48" spans="2:17" ht="24" x14ac:dyDescent="0.2">
      <c r="B48" s="72">
        <f t="shared" si="14"/>
        <v>39</v>
      </c>
      <c r="C48" s="4"/>
      <c r="D48" s="4"/>
      <c r="E48" s="4"/>
      <c r="F48" s="127">
        <v>620</v>
      </c>
      <c r="G48" s="127">
        <v>635</v>
      </c>
      <c r="H48" s="140" t="s">
        <v>679</v>
      </c>
      <c r="I48" s="127">
        <v>5000</v>
      </c>
      <c r="J48" s="127">
        <v>0</v>
      </c>
      <c r="K48" s="198">
        <f t="shared" si="10"/>
        <v>0</v>
      </c>
      <c r="L48" s="127"/>
      <c r="M48" s="127"/>
      <c r="N48" s="208"/>
      <c r="O48" s="127">
        <f t="shared" si="11"/>
        <v>5000</v>
      </c>
      <c r="P48" s="127">
        <f t="shared" si="12"/>
        <v>0</v>
      </c>
      <c r="Q48" s="203">
        <f t="shared" si="13"/>
        <v>0</v>
      </c>
    </row>
    <row r="49" spans="2:17" x14ac:dyDescent="0.2">
      <c r="B49" s="72">
        <f t="shared" si="14"/>
        <v>40</v>
      </c>
      <c r="C49" s="4"/>
      <c r="D49" s="4"/>
      <c r="E49" s="4"/>
      <c r="F49" s="53" t="s">
        <v>204</v>
      </c>
      <c r="G49" s="4">
        <v>636</v>
      </c>
      <c r="H49" s="4" t="s">
        <v>132</v>
      </c>
      <c r="I49" s="23">
        <v>150</v>
      </c>
      <c r="J49" s="23">
        <v>100</v>
      </c>
      <c r="K49" s="198">
        <f t="shared" si="10"/>
        <v>66.666666666666657</v>
      </c>
      <c r="L49" s="23"/>
      <c r="M49" s="23"/>
      <c r="N49" s="207"/>
      <c r="O49" s="23">
        <f t="shared" si="11"/>
        <v>150</v>
      </c>
      <c r="P49" s="23">
        <f t="shared" si="12"/>
        <v>100</v>
      </c>
      <c r="Q49" s="203">
        <f t="shared" si="13"/>
        <v>66.666666666666657</v>
      </c>
    </row>
    <row r="50" spans="2:17" x14ac:dyDescent="0.2">
      <c r="B50" s="72">
        <f t="shared" si="14"/>
        <v>41</v>
      </c>
      <c r="C50" s="4"/>
      <c r="D50" s="4"/>
      <c r="E50" s="4"/>
      <c r="F50" s="53" t="s">
        <v>204</v>
      </c>
      <c r="G50" s="4">
        <v>637</v>
      </c>
      <c r="H50" s="4" t="s">
        <v>128</v>
      </c>
      <c r="I50" s="23">
        <f>230050-211530</f>
        <v>18520</v>
      </c>
      <c r="J50" s="23">
        <f>10217-J51-J52</f>
        <v>8111</v>
      </c>
      <c r="K50" s="198">
        <f t="shared" si="10"/>
        <v>43.795896328293736</v>
      </c>
      <c r="L50" s="23"/>
      <c r="M50" s="23"/>
      <c r="N50" s="207"/>
      <c r="O50" s="23">
        <f t="shared" si="11"/>
        <v>18520</v>
      </c>
      <c r="P50" s="23">
        <f t="shared" si="12"/>
        <v>8111</v>
      </c>
      <c r="Q50" s="203">
        <f t="shared" si="13"/>
        <v>43.795896328293736</v>
      </c>
    </row>
    <row r="51" spans="2:17" x14ac:dyDescent="0.2">
      <c r="B51" s="72">
        <f t="shared" si="14"/>
        <v>42</v>
      </c>
      <c r="C51" s="4"/>
      <c r="D51" s="4"/>
      <c r="E51" s="4"/>
      <c r="F51" s="53" t="s">
        <v>204</v>
      </c>
      <c r="G51" s="4">
        <v>637</v>
      </c>
      <c r="H51" s="4" t="s">
        <v>675</v>
      </c>
      <c r="I51" s="23">
        <v>3000</v>
      </c>
      <c r="J51" s="23">
        <v>2106</v>
      </c>
      <c r="K51" s="198">
        <f t="shared" si="10"/>
        <v>70.199999999999989</v>
      </c>
      <c r="L51" s="23"/>
      <c r="M51" s="23"/>
      <c r="N51" s="207"/>
      <c r="O51" s="23">
        <f t="shared" si="11"/>
        <v>3000</v>
      </c>
      <c r="P51" s="23">
        <f t="shared" si="12"/>
        <v>2106</v>
      </c>
      <c r="Q51" s="203">
        <f t="shared" si="13"/>
        <v>70.199999999999989</v>
      </c>
    </row>
    <row r="52" spans="2:17" x14ac:dyDescent="0.2">
      <c r="B52" s="72">
        <f t="shared" si="14"/>
        <v>43</v>
      </c>
      <c r="C52" s="4"/>
      <c r="D52" s="4"/>
      <c r="E52" s="4"/>
      <c r="F52" s="53" t="s">
        <v>204</v>
      </c>
      <c r="G52" s="4">
        <v>637</v>
      </c>
      <c r="H52" s="4" t="s">
        <v>676</v>
      </c>
      <c r="I52" s="23">
        <v>8000</v>
      </c>
      <c r="J52" s="23">
        <v>0</v>
      </c>
      <c r="K52" s="198">
        <f t="shared" si="10"/>
        <v>0</v>
      </c>
      <c r="L52" s="23"/>
      <c r="M52" s="23"/>
      <c r="N52" s="207"/>
      <c r="O52" s="23">
        <f t="shared" si="11"/>
        <v>8000</v>
      </c>
      <c r="P52" s="23">
        <f t="shared" si="12"/>
        <v>0</v>
      </c>
      <c r="Q52" s="203">
        <f t="shared" si="13"/>
        <v>0</v>
      </c>
    </row>
    <row r="53" spans="2:17" x14ac:dyDescent="0.2">
      <c r="B53" s="72">
        <f t="shared" si="14"/>
        <v>44</v>
      </c>
      <c r="C53" s="12"/>
      <c r="D53" s="12"/>
      <c r="E53" s="12"/>
      <c r="F53" s="52" t="s">
        <v>204</v>
      </c>
      <c r="G53" s="12">
        <v>640</v>
      </c>
      <c r="H53" s="12" t="s">
        <v>134</v>
      </c>
      <c r="I53" s="49">
        <v>300</v>
      </c>
      <c r="J53" s="49">
        <v>294</v>
      </c>
      <c r="K53" s="198">
        <f t="shared" si="10"/>
        <v>98</v>
      </c>
      <c r="L53" s="49"/>
      <c r="M53" s="49"/>
      <c r="N53" s="207"/>
      <c r="O53" s="49">
        <f t="shared" si="11"/>
        <v>300</v>
      </c>
      <c r="P53" s="49">
        <f t="shared" si="12"/>
        <v>294</v>
      </c>
      <c r="Q53" s="203">
        <f t="shared" si="13"/>
        <v>98</v>
      </c>
    </row>
    <row r="54" spans="2:17" x14ac:dyDescent="0.2">
      <c r="B54" s="72">
        <f t="shared" si="14"/>
        <v>45</v>
      </c>
      <c r="C54" s="12"/>
      <c r="D54" s="12"/>
      <c r="E54" s="12"/>
      <c r="F54" s="52"/>
      <c r="G54" s="12"/>
      <c r="H54" s="12"/>
      <c r="I54" s="49"/>
      <c r="J54" s="49"/>
      <c r="K54" s="198"/>
      <c r="L54" s="49"/>
      <c r="M54" s="49"/>
      <c r="N54" s="207"/>
      <c r="O54" s="49"/>
      <c r="P54" s="49"/>
      <c r="Q54" s="203"/>
    </row>
    <row r="55" spans="2:17" x14ac:dyDescent="0.2">
      <c r="B55" s="72">
        <f t="shared" si="14"/>
        <v>46</v>
      </c>
      <c r="C55" s="12"/>
      <c r="D55" s="12"/>
      <c r="E55" s="12"/>
      <c r="F55" s="52" t="s">
        <v>204</v>
      </c>
      <c r="G55" s="12">
        <v>630</v>
      </c>
      <c r="H55" s="12" t="s">
        <v>417</v>
      </c>
      <c r="I55" s="49">
        <v>60000</v>
      </c>
      <c r="J55" s="49">
        <f>21700+5969</f>
        <v>27669</v>
      </c>
      <c r="K55" s="198">
        <f>J55/I55*100</f>
        <v>46.115000000000002</v>
      </c>
      <c r="L55" s="49"/>
      <c r="M55" s="49"/>
      <c r="N55" s="207"/>
      <c r="O55" s="49">
        <f>I55+L55</f>
        <v>60000</v>
      </c>
      <c r="P55" s="49">
        <f>J55+M55</f>
        <v>27669</v>
      </c>
      <c r="Q55" s="203">
        <f>P55/O55*100</f>
        <v>46.115000000000002</v>
      </c>
    </row>
    <row r="56" spans="2:17" x14ac:dyDescent="0.2">
      <c r="B56" s="72">
        <f t="shared" si="14"/>
        <v>47</v>
      </c>
      <c r="C56" s="12"/>
      <c r="D56" s="12"/>
      <c r="E56" s="12"/>
      <c r="F56" s="52"/>
      <c r="G56" s="12"/>
      <c r="H56" s="12"/>
      <c r="I56" s="49"/>
      <c r="J56" s="49"/>
      <c r="K56" s="198"/>
      <c r="L56" s="49"/>
      <c r="M56" s="49"/>
      <c r="N56" s="207"/>
      <c r="O56" s="49"/>
      <c r="P56" s="49"/>
      <c r="Q56" s="203"/>
    </row>
    <row r="57" spans="2:17" ht="15" x14ac:dyDescent="0.2">
      <c r="B57" s="72">
        <f t="shared" si="14"/>
        <v>48</v>
      </c>
      <c r="C57" s="179">
        <v>2</v>
      </c>
      <c r="D57" s="257" t="s">
        <v>145</v>
      </c>
      <c r="E57" s="253"/>
      <c r="F57" s="253"/>
      <c r="G57" s="253"/>
      <c r="H57" s="254"/>
      <c r="I57" s="45">
        <f>I58+I63</f>
        <v>2637000</v>
      </c>
      <c r="J57" s="45">
        <f>J58+J63</f>
        <v>2636059</v>
      </c>
      <c r="K57" s="198">
        <f>J57/I57*100</f>
        <v>99.964315510049289</v>
      </c>
      <c r="L57" s="45">
        <f>L58+L63</f>
        <v>80060</v>
      </c>
      <c r="M57" s="45">
        <f>M58+M63</f>
        <v>79165</v>
      </c>
      <c r="N57" s="220">
        <f t="shared" ref="N57:N95" si="15">M57/L57*100</f>
        <v>98.882088433674738</v>
      </c>
      <c r="O57" s="45">
        <f t="shared" ref="O57:P60" si="16">I57+L57</f>
        <v>2717060</v>
      </c>
      <c r="P57" s="45">
        <f t="shared" si="16"/>
        <v>2715224</v>
      </c>
      <c r="Q57" s="203">
        <f t="shared" ref="Q57:Q88" si="17">P57/O57*100</f>
        <v>99.932426961495153</v>
      </c>
    </row>
    <row r="58" spans="2:17" ht="15" x14ac:dyDescent="0.25">
      <c r="B58" s="72">
        <f t="shared" si="14"/>
        <v>49</v>
      </c>
      <c r="C58" s="178"/>
      <c r="D58" s="178">
        <v>1</v>
      </c>
      <c r="E58" s="252" t="s">
        <v>144</v>
      </c>
      <c r="F58" s="253"/>
      <c r="G58" s="253"/>
      <c r="H58" s="254"/>
      <c r="I58" s="46">
        <f>I59</f>
        <v>2634700</v>
      </c>
      <c r="J58" s="46">
        <f>J59</f>
        <v>2633759</v>
      </c>
      <c r="K58" s="198">
        <f>J58/I58*100</f>
        <v>99.964284358750518</v>
      </c>
      <c r="L58" s="46">
        <f>L62+L61</f>
        <v>15000</v>
      </c>
      <c r="M58" s="46">
        <f>M62+M61</f>
        <v>14105</v>
      </c>
      <c r="N58" s="220">
        <f t="shared" si="15"/>
        <v>94.033333333333331</v>
      </c>
      <c r="O58" s="46">
        <f t="shared" si="16"/>
        <v>2649700</v>
      </c>
      <c r="P58" s="46">
        <f t="shared" si="16"/>
        <v>2647864</v>
      </c>
      <c r="Q58" s="203">
        <f t="shared" si="17"/>
        <v>99.930709136883422</v>
      </c>
    </row>
    <row r="59" spans="2:17" x14ac:dyDescent="0.2">
      <c r="B59" s="72">
        <f t="shared" si="14"/>
        <v>50</v>
      </c>
      <c r="C59" s="12"/>
      <c r="D59" s="12"/>
      <c r="E59" s="12"/>
      <c r="F59" s="52" t="s">
        <v>143</v>
      </c>
      <c r="G59" s="12">
        <v>630</v>
      </c>
      <c r="H59" s="12" t="s">
        <v>127</v>
      </c>
      <c r="I59" s="49">
        <f>I60</f>
        <v>2634700</v>
      </c>
      <c r="J59" s="49">
        <f>J60</f>
        <v>2633759</v>
      </c>
      <c r="K59" s="198">
        <f>J59/I59*100</f>
        <v>99.964284358750518</v>
      </c>
      <c r="L59" s="49">
        <f>L60</f>
        <v>0</v>
      </c>
      <c r="M59" s="49">
        <f>M60</f>
        <v>0</v>
      </c>
      <c r="N59" s="218"/>
      <c r="O59" s="49">
        <f t="shared" si="16"/>
        <v>2634700</v>
      </c>
      <c r="P59" s="49">
        <f t="shared" si="16"/>
        <v>2633759</v>
      </c>
      <c r="Q59" s="203">
        <f t="shared" si="17"/>
        <v>99.964284358750518</v>
      </c>
    </row>
    <row r="60" spans="2:17" x14ac:dyDescent="0.2">
      <c r="B60" s="72">
        <f t="shared" si="14"/>
        <v>51</v>
      </c>
      <c r="C60" s="4"/>
      <c r="D60" s="4"/>
      <c r="E60" s="4"/>
      <c r="F60" s="53" t="s">
        <v>143</v>
      </c>
      <c r="G60" s="4">
        <v>637</v>
      </c>
      <c r="H60" s="4" t="s">
        <v>128</v>
      </c>
      <c r="I60" s="73">
        <f>2965000-140000-3000-117000-70300</f>
        <v>2634700</v>
      </c>
      <c r="J60" s="73">
        <v>2633759</v>
      </c>
      <c r="K60" s="198">
        <f>J60/I60*100</f>
        <v>99.964284358750518</v>
      </c>
      <c r="L60" s="23"/>
      <c r="M60" s="23"/>
      <c r="N60" s="218"/>
      <c r="O60" s="23">
        <f t="shared" si="16"/>
        <v>2634700</v>
      </c>
      <c r="P60" s="23">
        <f t="shared" si="16"/>
        <v>2633759</v>
      </c>
      <c r="Q60" s="203">
        <f t="shared" si="17"/>
        <v>99.964284358750518</v>
      </c>
    </row>
    <row r="61" spans="2:17" x14ac:dyDescent="0.2">
      <c r="B61" s="72">
        <f t="shared" si="14"/>
        <v>52</v>
      </c>
      <c r="C61" s="4"/>
      <c r="D61" s="4"/>
      <c r="E61" s="55"/>
      <c r="F61" s="162" t="s">
        <v>143</v>
      </c>
      <c r="G61" s="163">
        <v>716</v>
      </c>
      <c r="H61" s="163" t="s">
        <v>750</v>
      </c>
      <c r="I61" s="117"/>
      <c r="J61" s="117"/>
      <c r="K61" s="198"/>
      <c r="L61" s="117">
        <v>582</v>
      </c>
      <c r="M61" s="117">
        <v>582</v>
      </c>
      <c r="N61" s="219">
        <f t="shared" si="15"/>
        <v>100</v>
      </c>
      <c r="O61" s="117">
        <f>L61</f>
        <v>582</v>
      </c>
      <c r="P61" s="117">
        <f>M61</f>
        <v>582</v>
      </c>
      <c r="Q61" s="203">
        <f t="shared" si="17"/>
        <v>100</v>
      </c>
    </row>
    <row r="62" spans="2:17" x14ac:dyDescent="0.2">
      <c r="B62" s="72">
        <f t="shared" si="14"/>
        <v>53</v>
      </c>
      <c r="C62" s="4"/>
      <c r="D62" s="4"/>
      <c r="E62" s="55"/>
      <c r="F62" s="162" t="s">
        <v>143</v>
      </c>
      <c r="G62" s="163">
        <v>717</v>
      </c>
      <c r="H62" s="163" t="s">
        <v>663</v>
      </c>
      <c r="I62" s="117"/>
      <c r="J62" s="117"/>
      <c r="K62" s="198"/>
      <c r="L62" s="117">
        <f>15000-582</f>
        <v>14418</v>
      </c>
      <c r="M62" s="117">
        <v>13523</v>
      </c>
      <c r="N62" s="219">
        <f t="shared" si="15"/>
        <v>93.79248162019698</v>
      </c>
      <c r="O62" s="117">
        <f>L62</f>
        <v>14418</v>
      </c>
      <c r="P62" s="117">
        <f>M62</f>
        <v>13523</v>
      </c>
      <c r="Q62" s="203">
        <f t="shared" si="17"/>
        <v>93.79248162019698</v>
      </c>
    </row>
    <row r="63" spans="2:17" ht="15" x14ac:dyDescent="0.25">
      <c r="B63" s="72">
        <f t="shared" si="14"/>
        <v>54</v>
      </c>
      <c r="C63" s="178"/>
      <c r="D63" s="178">
        <v>2</v>
      </c>
      <c r="E63" s="252" t="s">
        <v>27</v>
      </c>
      <c r="F63" s="253"/>
      <c r="G63" s="253"/>
      <c r="H63" s="254"/>
      <c r="I63" s="46">
        <f>I64+I66</f>
        <v>2300</v>
      </c>
      <c r="J63" s="46">
        <f>J64+J66</f>
        <v>2300</v>
      </c>
      <c r="K63" s="198">
        <f>J63/I63*100</f>
        <v>100</v>
      </c>
      <c r="L63" s="46">
        <f>L64+L66</f>
        <v>65060</v>
      </c>
      <c r="M63" s="46">
        <f>M64+M66</f>
        <v>65060</v>
      </c>
      <c r="N63" s="220">
        <f t="shared" si="15"/>
        <v>100</v>
      </c>
      <c r="O63" s="46">
        <f t="shared" ref="O63:O83" si="18">I63+L63</f>
        <v>67360</v>
      </c>
      <c r="P63" s="46">
        <f t="shared" ref="P63:P83" si="19">J63+M63</f>
        <v>67360</v>
      </c>
      <c r="Q63" s="203">
        <f t="shared" si="17"/>
        <v>100</v>
      </c>
    </row>
    <row r="64" spans="2:17" x14ac:dyDescent="0.2">
      <c r="B64" s="72">
        <f t="shared" si="14"/>
        <v>55</v>
      </c>
      <c r="C64" s="12"/>
      <c r="D64" s="12"/>
      <c r="E64" s="12"/>
      <c r="F64" s="52" t="s">
        <v>143</v>
      </c>
      <c r="G64" s="12">
        <v>630</v>
      </c>
      <c r="H64" s="12" t="s">
        <v>127</v>
      </c>
      <c r="I64" s="49">
        <f>I65</f>
        <v>2300</v>
      </c>
      <c r="J64" s="49">
        <f>J65</f>
        <v>2300</v>
      </c>
      <c r="K64" s="198">
        <f>J64/I64*100</f>
        <v>100</v>
      </c>
      <c r="L64" s="49">
        <f>L65</f>
        <v>0</v>
      </c>
      <c r="M64" s="49">
        <f>M65</f>
        <v>0</v>
      </c>
      <c r="N64" s="218"/>
      <c r="O64" s="49">
        <f t="shared" si="18"/>
        <v>2300</v>
      </c>
      <c r="P64" s="49">
        <f t="shared" si="19"/>
        <v>2300</v>
      </c>
      <c r="Q64" s="203">
        <f t="shared" si="17"/>
        <v>100</v>
      </c>
    </row>
    <row r="65" spans="2:17" x14ac:dyDescent="0.2">
      <c r="B65" s="72">
        <f t="shared" si="14"/>
        <v>56</v>
      </c>
      <c r="C65" s="4"/>
      <c r="D65" s="4"/>
      <c r="E65" s="4"/>
      <c r="F65" s="53" t="s">
        <v>143</v>
      </c>
      <c r="G65" s="4">
        <v>637</v>
      </c>
      <c r="H65" s="4" t="s">
        <v>128</v>
      </c>
      <c r="I65" s="23">
        <v>2300</v>
      </c>
      <c r="J65" s="23">
        <v>2300</v>
      </c>
      <c r="K65" s="198">
        <f>J65/I65*100</f>
        <v>100</v>
      </c>
      <c r="L65" s="23"/>
      <c r="M65" s="23"/>
      <c r="N65" s="218"/>
      <c r="O65" s="23">
        <f t="shared" si="18"/>
        <v>2300</v>
      </c>
      <c r="P65" s="23">
        <f t="shared" si="19"/>
        <v>2300</v>
      </c>
      <c r="Q65" s="203">
        <f t="shared" si="17"/>
        <v>100</v>
      </c>
    </row>
    <row r="66" spans="2:17" x14ac:dyDescent="0.2">
      <c r="B66" s="72">
        <f t="shared" si="14"/>
        <v>57</v>
      </c>
      <c r="C66" s="12"/>
      <c r="D66" s="12"/>
      <c r="E66" s="12"/>
      <c r="F66" s="52" t="s">
        <v>143</v>
      </c>
      <c r="G66" s="12">
        <v>710</v>
      </c>
      <c r="H66" s="12" t="s">
        <v>183</v>
      </c>
      <c r="I66" s="49">
        <v>0</v>
      </c>
      <c r="J66" s="49">
        <v>0</v>
      </c>
      <c r="K66" s="198"/>
      <c r="L66" s="49">
        <f>L67</f>
        <v>65060</v>
      </c>
      <c r="M66" s="49">
        <f>M67</f>
        <v>65060</v>
      </c>
      <c r="N66" s="218">
        <f t="shared" si="15"/>
        <v>100</v>
      </c>
      <c r="O66" s="49">
        <f t="shared" si="18"/>
        <v>65060</v>
      </c>
      <c r="P66" s="49">
        <f t="shared" si="19"/>
        <v>65060</v>
      </c>
      <c r="Q66" s="203">
        <f t="shared" si="17"/>
        <v>100</v>
      </c>
    </row>
    <row r="67" spans="2:17" x14ac:dyDescent="0.2">
      <c r="B67" s="72">
        <f t="shared" si="14"/>
        <v>58</v>
      </c>
      <c r="C67" s="4"/>
      <c r="D67" s="4"/>
      <c r="E67" s="4"/>
      <c r="F67" s="82" t="s">
        <v>143</v>
      </c>
      <c r="G67" s="83">
        <v>717</v>
      </c>
      <c r="H67" s="83" t="s">
        <v>193</v>
      </c>
      <c r="I67" s="84"/>
      <c r="J67" s="84"/>
      <c r="K67" s="198"/>
      <c r="L67" s="84">
        <f>SUM(L68:L68)</f>
        <v>65060</v>
      </c>
      <c r="M67" s="84">
        <f>SUM(M68:M68)</f>
        <v>65060</v>
      </c>
      <c r="N67" s="218">
        <f t="shared" si="15"/>
        <v>100</v>
      </c>
      <c r="O67" s="84">
        <f t="shared" si="18"/>
        <v>65060</v>
      </c>
      <c r="P67" s="84">
        <f t="shared" si="19"/>
        <v>65060</v>
      </c>
      <c r="Q67" s="203">
        <f t="shared" si="17"/>
        <v>100</v>
      </c>
    </row>
    <row r="68" spans="2:17" x14ac:dyDescent="0.2">
      <c r="B68" s="72">
        <f t="shared" si="14"/>
        <v>59</v>
      </c>
      <c r="C68" s="4"/>
      <c r="D68" s="55"/>
      <c r="E68" s="4"/>
      <c r="F68" s="53"/>
      <c r="G68" s="4"/>
      <c r="H68" s="4" t="s">
        <v>379</v>
      </c>
      <c r="I68" s="23"/>
      <c r="J68" s="23"/>
      <c r="K68" s="198"/>
      <c r="L68" s="23">
        <v>65060</v>
      </c>
      <c r="M68" s="23">
        <v>65060</v>
      </c>
      <c r="N68" s="218">
        <f t="shared" si="15"/>
        <v>100</v>
      </c>
      <c r="O68" s="23">
        <f t="shared" si="18"/>
        <v>65060</v>
      </c>
      <c r="P68" s="23">
        <f t="shared" si="19"/>
        <v>65060</v>
      </c>
      <c r="Q68" s="203">
        <f t="shared" si="17"/>
        <v>100</v>
      </c>
    </row>
    <row r="69" spans="2:17" ht="15" x14ac:dyDescent="0.2">
      <c r="B69" s="72">
        <f t="shared" si="14"/>
        <v>60</v>
      </c>
      <c r="C69" s="179">
        <v>3</v>
      </c>
      <c r="D69" s="257" t="s">
        <v>31</v>
      </c>
      <c r="E69" s="253"/>
      <c r="F69" s="253"/>
      <c r="G69" s="253"/>
      <c r="H69" s="254"/>
      <c r="I69" s="45">
        <f>I70+I73+I77+I76</f>
        <v>29150</v>
      </c>
      <c r="J69" s="45">
        <f>J70+J73+J77+J76</f>
        <v>24513</v>
      </c>
      <c r="K69" s="198">
        <f t="shared" ref="K69:K78" si="20">J69/I69*100</f>
        <v>84.092624356775303</v>
      </c>
      <c r="L69" s="45">
        <f>L70+L73+L77+L79</f>
        <v>3500</v>
      </c>
      <c r="M69" s="45">
        <f>M70+M73+M77+M79</f>
        <v>0</v>
      </c>
      <c r="N69" s="220">
        <f t="shared" si="15"/>
        <v>0</v>
      </c>
      <c r="O69" s="45">
        <f t="shared" si="18"/>
        <v>32650</v>
      </c>
      <c r="P69" s="45">
        <f t="shared" si="19"/>
        <v>24513</v>
      </c>
      <c r="Q69" s="203">
        <f t="shared" si="17"/>
        <v>75.078101071975496</v>
      </c>
    </row>
    <row r="70" spans="2:17" x14ac:dyDescent="0.2">
      <c r="B70" s="72">
        <f t="shared" si="14"/>
        <v>61</v>
      </c>
      <c r="C70" s="12"/>
      <c r="D70" s="12"/>
      <c r="E70" s="12"/>
      <c r="F70" s="52" t="s">
        <v>30</v>
      </c>
      <c r="G70" s="12">
        <v>630</v>
      </c>
      <c r="H70" s="12" t="s">
        <v>127</v>
      </c>
      <c r="I70" s="49">
        <f>I72+I71</f>
        <v>10200</v>
      </c>
      <c r="J70" s="49">
        <f>J72+J71</f>
        <v>8573</v>
      </c>
      <c r="K70" s="198">
        <f t="shared" si="20"/>
        <v>84.049019607843135</v>
      </c>
      <c r="L70" s="49">
        <f>L72+L71</f>
        <v>0</v>
      </c>
      <c r="M70" s="49">
        <f>M72+M71</f>
        <v>0</v>
      </c>
      <c r="N70" s="218"/>
      <c r="O70" s="49">
        <f t="shared" si="18"/>
        <v>10200</v>
      </c>
      <c r="P70" s="49">
        <f t="shared" si="19"/>
        <v>8573</v>
      </c>
      <c r="Q70" s="203">
        <f t="shared" si="17"/>
        <v>84.049019607843135</v>
      </c>
    </row>
    <row r="71" spans="2:17" x14ac:dyDescent="0.2">
      <c r="B71" s="72">
        <f t="shared" si="14"/>
        <v>62</v>
      </c>
      <c r="C71" s="4"/>
      <c r="D71" s="4"/>
      <c r="E71" s="4"/>
      <c r="F71" s="53" t="s">
        <v>30</v>
      </c>
      <c r="G71" s="4">
        <v>633</v>
      </c>
      <c r="H71" s="4" t="s">
        <v>131</v>
      </c>
      <c r="I71" s="23">
        <v>100</v>
      </c>
      <c r="J71" s="23">
        <v>73</v>
      </c>
      <c r="K71" s="198">
        <f t="shared" si="20"/>
        <v>73</v>
      </c>
      <c r="L71" s="23"/>
      <c r="M71" s="23"/>
      <c r="N71" s="218"/>
      <c r="O71" s="23">
        <f t="shared" si="18"/>
        <v>100</v>
      </c>
      <c r="P71" s="23">
        <f t="shared" si="19"/>
        <v>73</v>
      </c>
      <c r="Q71" s="203">
        <f t="shared" si="17"/>
        <v>73</v>
      </c>
    </row>
    <row r="72" spans="2:17" x14ac:dyDescent="0.2">
      <c r="B72" s="72">
        <f t="shared" si="14"/>
        <v>63</v>
      </c>
      <c r="C72" s="4"/>
      <c r="D72" s="4"/>
      <c r="E72" s="4"/>
      <c r="F72" s="53" t="s">
        <v>30</v>
      </c>
      <c r="G72" s="4">
        <v>637</v>
      </c>
      <c r="H72" s="4" t="s">
        <v>128</v>
      </c>
      <c r="I72" s="23">
        <f>7900-3000+1200+3000+1000</f>
        <v>10100</v>
      </c>
      <c r="J72" s="23">
        <v>8500</v>
      </c>
      <c r="K72" s="198">
        <f t="shared" si="20"/>
        <v>84.158415841584159</v>
      </c>
      <c r="L72" s="23"/>
      <c r="M72" s="23"/>
      <c r="N72" s="218"/>
      <c r="O72" s="23">
        <f t="shared" si="18"/>
        <v>10100</v>
      </c>
      <c r="P72" s="23">
        <f t="shared" si="19"/>
        <v>8500</v>
      </c>
      <c r="Q72" s="203">
        <f t="shared" si="17"/>
        <v>84.158415841584159</v>
      </c>
    </row>
    <row r="73" spans="2:17" x14ac:dyDescent="0.2">
      <c r="B73" s="72">
        <f t="shared" ref="B73:B107" si="21">B72+1</f>
        <v>64</v>
      </c>
      <c r="C73" s="4"/>
      <c r="D73" s="4"/>
      <c r="E73" s="4"/>
      <c r="F73" s="52" t="s">
        <v>74</v>
      </c>
      <c r="G73" s="12">
        <v>630</v>
      </c>
      <c r="H73" s="12" t="s">
        <v>127</v>
      </c>
      <c r="I73" s="49">
        <f>I74+I75</f>
        <v>9950</v>
      </c>
      <c r="J73" s="49">
        <f>J74+J75</f>
        <v>8940</v>
      </c>
      <c r="K73" s="198">
        <f t="shared" si="20"/>
        <v>89.849246231155774</v>
      </c>
      <c r="L73" s="49">
        <f>L75+L74</f>
        <v>0</v>
      </c>
      <c r="M73" s="49">
        <f>M75+M74</f>
        <v>0</v>
      </c>
      <c r="N73" s="218"/>
      <c r="O73" s="49">
        <f t="shared" si="18"/>
        <v>9950</v>
      </c>
      <c r="P73" s="49">
        <f t="shared" si="19"/>
        <v>8940</v>
      </c>
      <c r="Q73" s="203">
        <f t="shared" si="17"/>
        <v>89.849246231155774</v>
      </c>
    </row>
    <row r="74" spans="2:17" x14ac:dyDescent="0.2">
      <c r="B74" s="72">
        <f t="shared" si="21"/>
        <v>65</v>
      </c>
      <c r="C74" s="4"/>
      <c r="D74" s="4"/>
      <c r="E74" s="4"/>
      <c r="F74" s="53" t="s">
        <v>74</v>
      </c>
      <c r="G74" s="4">
        <v>637</v>
      </c>
      <c r="H74" s="4" t="s">
        <v>627</v>
      </c>
      <c r="I74" s="23">
        <f>3170+540</f>
        <v>3710</v>
      </c>
      <c r="J74" s="23">
        <f>2200+1240</f>
        <v>3440</v>
      </c>
      <c r="K74" s="198">
        <f t="shared" si="20"/>
        <v>92.722371967654979</v>
      </c>
      <c r="L74" s="23"/>
      <c r="M74" s="23"/>
      <c r="N74" s="218"/>
      <c r="O74" s="23">
        <f t="shared" si="18"/>
        <v>3710</v>
      </c>
      <c r="P74" s="23">
        <f t="shared" si="19"/>
        <v>3440</v>
      </c>
      <c r="Q74" s="203">
        <f t="shared" si="17"/>
        <v>92.722371967654979</v>
      </c>
    </row>
    <row r="75" spans="2:17" x14ac:dyDescent="0.2">
      <c r="B75" s="72">
        <f t="shared" si="21"/>
        <v>66</v>
      </c>
      <c r="C75" s="4"/>
      <c r="D75" s="4"/>
      <c r="E75" s="4"/>
      <c r="F75" s="53" t="s">
        <v>74</v>
      </c>
      <c r="G75" s="4">
        <v>637</v>
      </c>
      <c r="H75" s="4" t="s">
        <v>628</v>
      </c>
      <c r="I75" s="23">
        <v>6240</v>
      </c>
      <c r="J75" s="23">
        <v>5500</v>
      </c>
      <c r="K75" s="198">
        <f t="shared" si="20"/>
        <v>88.141025641025635</v>
      </c>
      <c r="L75" s="23"/>
      <c r="M75" s="23"/>
      <c r="N75" s="218"/>
      <c r="O75" s="23">
        <f t="shared" si="18"/>
        <v>6240</v>
      </c>
      <c r="P75" s="23">
        <f t="shared" si="19"/>
        <v>5500</v>
      </c>
      <c r="Q75" s="203">
        <f t="shared" si="17"/>
        <v>88.141025641025635</v>
      </c>
    </row>
    <row r="76" spans="2:17" ht="24" x14ac:dyDescent="0.2">
      <c r="B76" s="72">
        <f t="shared" si="21"/>
        <v>67</v>
      </c>
      <c r="C76" s="75"/>
      <c r="D76" s="75"/>
      <c r="E76" s="173"/>
      <c r="F76" s="174" t="s">
        <v>149</v>
      </c>
      <c r="G76" s="175">
        <v>640</v>
      </c>
      <c r="H76" s="176" t="s">
        <v>738</v>
      </c>
      <c r="I76" s="177">
        <v>7000</v>
      </c>
      <c r="J76" s="177">
        <v>7000</v>
      </c>
      <c r="K76" s="198">
        <f t="shared" si="20"/>
        <v>100</v>
      </c>
      <c r="L76" s="177"/>
      <c r="M76" s="177"/>
      <c r="N76" s="219"/>
      <c r="O76" s="62">
        <f t="shared" si="18"/>
        <v>7000</v>
      </c>
      <c r="P76" s="62">
        <f t="shared" si="19"/>
        <v>7000</v>
      </c>
      <c r="Q76" s="203">
        <f t="shared" si="17"/>
        <v>100</v>
      </c>
    </row>
    <row r="77" spans="2:17" x14ac:dyDescent="0.2">
      <c r="B77" s="72">
        <f t="shared" si="21"/>
        <v>68</v>
      </c>
      <c r="C77" s="4"/>
      <c r="D77" s="4"/>
      <c r="E77" s="159"/>
      <c r="F77" s="52" t="s">
        <v>204</v>
      </c>
      <c r="G77" s="12">
        <v>630</v>
      </c>
      <c r="H77" s="12" t="s">
        <v>127</v>
      </c>
      <c r="I77" s="49">
        <f>I78</f>
        <v>2000</v>
      </c>
      <c r="J77" s="49">
        <f>J78</f>
        <v>0</v>
      </c>
      <c r="K77" s="198">
        <f t="shared" si="20"/>
        <v>0</v>
      </c>
      <c r="L77" s="49">
        <f>L78+L82</f>
        <v>0</v>
      </c>
      <c r="M77" s="49">
        <f>M78+M82</f>
        <v>0</v>
      </c>
      <c r="N77" s="218"/>
      <c r="O77" s="49">
        <f t="shared" si="18"/>
        <v>2000</v>
      </c>
      <c r="P77" s="49">
        <f t="shared" si="19"/>
        <v>0</v>
      </c>
      <c r="Q77" s="203">
        <f t="shared" si="17"/>
        <v>0</v>
      </c>
    </row>
    <row r="78" spans="2:17" x14ac:dyDescent="0.2">
      <c r="B78" s="72">
        <f t="shared" si="21"/>
        <v>69</v>
      </c>
      <c r="C78" s="4"/>
      <c r="D78" s="4"/>
      <c r="E78" s="159"/>
      <c r="F78" s="53" t="s">
        <v>204</v>
      </c>
      <c r="G78" s="4">
        <v>635</v>
      </c>
      <c r="H78" s="4" t="s">
        <v>664</v>
      </c>
      <c r="I78" s="23">
        <v>2000</v>
      </c>
      <c r="J78" s="23"/>
      <c r="K78" s="198">
        <f t="shared" si="20"/>
        <v>0</v>
      </c>
      <c r="L78" s="23"/>
      <c r="M78" s="23"/>
      <c r="N78" s="218"/>
      <c r="O78" s="23">
        <f t="shared" si="18"/>
        <v>2000</v>
      </c>
      <c r="P78" s="23">
        <f t="shared" si="19"/>
        <v>0</v>
      </c>
      <c r="Q78" s="203">
        <f t="shared" si="17"/>
        <v>0</v>
      </c>
    </row>
    <row r="79" spans="2:17" x14ac:dyDescent="0.2">
      <c r="B79" s="72">
        <f t="shared" si="21"/>
        <v>70</v>
      </c>
      <c r="C79" s="12"/>
      <c r="D79" s="12"/>
      <c r="E79" s="12"/>
      <c r="F79" s="52" t="s">
        <v>204</v>
      </c>
      <c r="G79" s="12">
        <v>710</v>
      </c>
      <c r="H79" s="12" t="s">
        <v>183</v>
      </c>
      <c r="I79" s="49">
        <v>0</v>
      </c>
      <c r="J79" s="49">
        <v>0</v>
      </c>
      <c r="K79" s="198"/>
      <c r="L79" s="49">
        <f>L80</f>
        <v>3500</v>
      </c>
      <c r="M79" s="49">
        <f>M80</f>
        <v>0</v>
      </c>
      <c r="N79" s="218">
        <f t="shared" si="15"/>
        <v>0</v>
      </c>
      <c r="O79" s="49">
        <f t="shared" si="18"/>
        <v>3500</v>
      </c>
      <c r="P79" s="49">
        <f t="shared" si="19"/>
        <v>0</v>
      </c>
      <c r="Q79" s="203">
        <f t="shared" si="17"/>
        <v>0</v>
      </c>
    </row>
    <row r="80" spans="2:17" x14ac:dyDescent="0.2">
      <c r="B80" s="72">
        <f t="shared" si="21"/>
        <v>71</v>
      </c>
      <c r="C80" s="4"/>
      <c r="D80" s="4"/>
      <c r="E80" s="4"/>
      <c r="F80" s="82" t="s">
        <v>204</v>
      </c>
      <c r="G80" s="83">
        <v>716</v>
      </c>
      <c r="H80" s="83" t="s">
        <v>0</v>
      </c>
      <c r="I80" s="84"/>
      <c r="J80" s="84"/>
      <c r="K80" s="198"/>
      <c r="L80" s="84">
        <f>SUM(L81:L81)</f>
        <v>3500</v>
      </c>
      <c r="M80" s="84">
        <f>SUM(M81:M81)</f>
        <v>0</v>
      </c>
      <c r="N80" s="218">
        <f t="shared" si="15"/>
        <v>0</v>
      </c>
      <c r="O80" s="84">
        <f t="shared" si="18"/>
        <v>3500</v>
      </c>
      <c r="P80" s="84">
        <f t="shared" si="19"/>
        <v>0</v>
      </c>
      <c r="Q80" s="203">
        <f t="shared" si="17"/>
        <v>0</v>
      </c>
    </row>
    <row r="81" spans="2:17" x14ac:dyDescent="0.2">
      <c r="B81" s="72">
        <f t="shared" si="21"/>
        <v>72</v>
      </c>
      <c r="C81" s="4"/>
      <c r="D81" s="55"/>
      <c r="E81" s="4"/>
      <c r="F81" s="53"/>
      <c r="G81" s="4"/>
      <c r="H81" s="4" t="s">
        <v>724</v>
      </c>
      <c r="I81" s="23"/>
      <c r="J81" s="23"/>
      <c r="K81" s="198"/>
      <c r="L81" s="23">
        <v>3500</v>
      </c>
      <c r="M81" s="23"/>
      <c r="N81" s="218">
        <f t="shared" si="15"/>
        <v>0</v>
      </c>
      <c r="O81" s="23">
        <f t="shared" si="18"/>
        <v>3500</v>
      </c>
      <c r="P81" s="23">
        <f t="shared" si="19"/>
        <v>0</v>
      </c>
      <c r="Q81" s="203">
        <f t="shared" si="17"/>
        <v>0</v>
      </c>
    </row>
    <row r="82" spans="2:17" ht="15" x14ac:dyDescent="0.2">
      <c r="B82" s="72">
        <f t="shared" si="21"/>
        <v>73</v>
      </c>
      <c r="C82" s="179">
        <v>4</v>
      </c>
      <c r="D82" s="257" t="s">
        <v>253</v>
      </c>
      <c r="E82" s="253"/>
      <c r="F82" s="253"/>
      <c r="G82" s="253"/>
      <c r="H82" s="254"/>
      <c r="I82" s="45">
        <f>I83</f>
        <v>20000</v>
      </c>
      <c r="J82" s="45">
        <f>J83</f>
        <v>20000</v>
      </c>
      <c r="K82" s="198">
        <f t="shared" ref="K82:K92" si="22">J82/I82*100</f>
        <v>100</v>
      </c>
      <c r="L82" s="45">
        <f>L83</f>
        <v>0</v>
      </c>
      <c r="M82" s="45">
        <f>M83</f>
        <v>0</v>
      </c>
      <c r="N82" s="220"/>
      <c r="O82" s="45">
        <f t="shared" si="18"/>
        <v>20000</v>
      </c>
      <c r="P82" s="45">
        <f t="shared" si="19"/>
        <v>20000</v>
      </c>
      <c r="Q82" s="203">
        <f t="shared" si="17"/>
        <v>100</v>
      </c>
    </row>
    <row r="83" spans="2:17" x14ac:dyDescent="0.2">
      <c r="B83" s="72">
        <f t="shared" si="21"/>
        <v>74</v>
      </c>
      <c r="C83" s="12"/>
      <c r="D83" s="12"/>
      <c r="E83" s="12"/>
      <c r="F83" s="52" t="s">
        <v>204</v>
      </c>
      <c r="G83" s="12">
        <v>640</v>
      </c>
      <c r="H83" s="12" t="s">
        <v>134</v>
      </c>
      <c r="I83" s="49">
        <v>20000</v>
      </c>
      <c r="J83" s="49">
        <f>J84</f>
        <v>20000</v>
      </c>
      <c r="K83" s="198">
        <f t="shared" si="22"/>
        <v>100</v>
      </c>
      <c r="L83" s="49">
        <f>L84</f>
        <v>0</v>
      </c>
      <c r="M83" s="49">
        <f>M84</f>
        <v>0</v>
      </c>
      <c r="N83" s="218"/>
      <c r="O83" s="49">
        <f t="shared" si="18"/>
        <v>20000</v>
      </c>
      <c r="P83" s="49">
        <f t="shared" si="19"/>
        <v>20000</v>
      </c>
      <c r="Q83" s="203">
        <f t="shared" si="17"/>
        <v>100</v>
      </c>
    </row>
    <row r="84" spans="2:17" x14ac:dyDescent="0.2">
      <c r="B84" s="72">
        <f t="shared" si="21"/>
        <v>75</v>
      </c>
      <c r="C84" s="12"/>
      <c r="D84" s="57"/>
      <c r="E84" s="12"/>
      <c r="F84" s="52"/>
      <c r="G84" s="12"/>
      <c r="H84" s="59" t="s">
        <v>341</v>
      </c>
      <c r="I84" s="58">
        <v>20000</v>
      </c>
      <c r="J84" s="58">
        <v>20000</v>
      </c>
      <c r="K84" s="198">
        <f t="shared" si="22"/>
        <v>100</v>
      </c>
      <c r="L84" s="49"/>
      <c r="M84" s="49"/>
      <c r="N84" s="218"/>
      <c r="O84" s="49">
        <f>L84+I84</f>
        <v>20000</v>
      </c>
      <c r="P84" s="49">
        <f>M84+J84</f>
        <v>20000</v>
      </c>
      <c r="Q84" s="203">
        <f t="shared" si="17"/>
        <v>100</v>
      </c>
    </row>
    <row r="85" spans="2:17" ht="15" x14ac:dyDescent="0.2">
      <c r="B85" s="72">
        <f t="shared" si="21"/>
        <v>76</v>
      </c>
      <c r="C85" s="179">
        <v>5</v>
      </c>
      <c r="D85" s="257" t="s">
        <v>257</v>
      </c>
      <c r="E85" s="253"/>
      <c r="F85" s="253"/>
      <c r="G85" s="253"/>
      <c r="H85" s="254"/>
      <c r="I85" s="45">
        <f>I86</f>
        <v>8650</v>
      </c>
      <c r="J85" s="45">
        <f>J86</f>
        <v>4153</v>
      </c>
      <c r="K85" s="198">
        <f t="shared" si="22"/>
        <v>48.01156069364162</v>
      </c>
      <c r="L85" s="45">
        <f>L86</f>
        <v>16000</v>
      </c>
      <c r="M85" s="45">
        <f>M86</f>
        <v>15968</v>
      </c>
      <c r="N85" s="220">
        <f t="shared" si="15"/>
        <v>99.8</v>
      </c>
      <c r="O85" s="45">
        <f t="shared" ref="O85:O93" si="23">I85+L85</f>
        <v>24650</v>
      </c>
      <c r="P85" s="45">
        <f t="shared" ref="P85:P93" si="24">J85+M85</f>
        <v>20121</v>
      </c>
      <c r="Q85" s="203">
        <f t="shared" si="17"/>
        <v>81.62677484787018</v>
      </c>
    </row>
    <row r="86" spans="2:17" ht="15" x14ac:dyDescent="0.25">
      <c r="B86" s="72">
        <f t="shared" si="21"/>
        <v>77</v>
      </c>
      <c r="C86" s="15"/>
      <c r="D86" s="15"/>
      <c r="E86" s="15">
        <v>2</v>
      </c>
      <c r="F86" s="50"/>
      <c r="G86" s="15"/>
      <c r="H86" s="15" t="s">
        <v>256</v>
      </c>
      <c r="I86" s="47">
        <f>I87+I88+I89</f>
        <v>8650</v>
      </c>
      <c r="J86" s="47">
        <f>J87+J88+J89</f>
        <v>4153</v>
      </c>
      <c r="K86" s="198">
        <f t="shared" si="22"/>
        <v>48.01156069364162</v>
      </c>
      <c r="L86" s="47">
        <f>L87+L88+L89+L93</f>
        <v>16000</v>
      </c>
      <c r="M86" s="47">
        <f>M87+M88+M89+M93</f>
        <v>15968</v>
      </c>
      <c r="N86" s="218">
        <f t="shared" si="15"/>
        <v>99.8</v>
      </c>
      <c r="O86" s="47">
        <f t="shared" si="23"/>
        <v>24650</v>
      </c>
      <c r="P86" s="47">
        <f t="shared" si="24"/>
        <v>20121</v>
      </c>
      <c r="Q86" s="203">
        <f t="shared" si="17"/>
        <v>81.62677484787018</v>
      </c>
    </row>
    <row r="87" spans="2:17" x14ac:dyDescent="0.2">
      <c r="B87" s="72">
        <f t="shared" si="21"/>
        <v>78</v>
      </c>
      <c r="C87" s="12"/>
      <c r="D87" s="12"/>
      <c r="E87" s="12"/>
      <c r="F87" s="52" t="s">
        <v>204</v>
      </c>
      <c r="G87" s="12">
        <v>610</v>
      </c>
      <c r="H87" s="12" t="s">
        <v>135</v>
      </c>
      <c r="I87" s="49">
        <v>1100</v>
      </c>
      <c r="J87" s="49">
        <v>1040</v>
      </c>
      <c r="K87" s="198">
        <f t="shared" si="22"/>
        <v>94.545454545454547</v>
      </c>
      <c r="L87" s="49"/>
      <c r="M87" s="49"/>
      <c r="N87" s="218"/>
      <c r="O87" s="49">
        <f t="shared" si="23"/>
        <v>1100</v>
      </c>
      <c r="P87" s="49">
        <f t="shared" si="24"/>
        <v>1040</v>
      </c>
      <c r="Q87" s="203">
        <f t="shared" si="17"/>
        <v>94.545454545454547</v>
      </c>
    </row>
    <row r="88" spans="2:17" x14ac:dyDescent="0.2">
      <c r="B88" s="72">
        <f t="shared" si="21"/>
        <v>79</v>
      </c>
      <c r="C88" s="12"/>
      <c r="D88" s="12"/>
      <c r="E88" s="12"/>
      <c r="F88" s="52" t="s">
        <v>204</v>
      </c>
      <c r="G88" s="12">
        <v>620</v>
      </c>
      <c r="H88" s="12" t="s">
        <v>130</v>
      </c>
      <c r="I88" s="49">
        <v>400</v>
      </c>
      <c r="J88" s="49">
        <v>364</v>
      </c>
      <c r="K88" s="198">
        <f t="shared" si="22"/>
        <v>91</v>
      </c>
      <c r="L88" s="49"/>
      <c r="M88" s="49"/>
      <c r="N88" s="218"/>
      <c r="O88" s="49">
        <f t="shared" si="23"/>
        <v>400</v>
      </c>
      <c r="P88" s="49">
        <f t="shared" si="24"/>
        <v>364</v>
      </c>
      <c r="Q88" s="203">
        <f t="shared" si="17"/>
        <v>91</v>
      </c>
    </row>
    <row r="89" spans="2:17" x14ac:dyDescent="0.2">
      <c r="B89" s="72">
        <f t="shared" si="21"/>
        <v>80</v>
      </c>
      <c r="C89" s="12"/>
      <c r="D89" s="12"/>
      <c r="E89" s="12"/>
      <c r="F89" s="52" t="s">
        <v>204</v>
      </c>
      <c r="G89" s="12">
        <v>630</v>
      </c>
      <c r="H89" s="12" t="s">
        <v>127</v>
      </c>
      <c r="I89" s="49">
        <f>I92+I91+I90</f>
        <v>7150</v>
      </c>
      <c r="J89" s="49">
        <f>J92+J91+J90</f>
        <v>2749</v>
      </c>
      <c r="K89" s="198">
        <f t="shared" si="22"/>
        <v>38.447552447552447</v>
      </c>
      <c r="L89" s="49">
        <f>L92+L91+L90</f>
        <v>0</v>
      </c>
      <c r="M89" s="49">
        <f>M92+M91+M90</f>
        <v>0</v>
      </c>
      <c r="N89" s="218"/>
      <c r="O89" s="49">
        <f t="shared" si="23"/>
        <v>7150</v>
      </c>
      <c r="P89" s="49">
        <f t="shared" si="24"/>
        <v>2749</v>
      </c>
      <c r="Q89" s="203">
        <f t="shared" ref="Q89:Q107" si="25">P89/O89*100</f>
        <v>38.447552447552447</v>
      </c>
    </row>
    <row r="90" spans="2:17" x14ac:dyDescent="0.2">
      <c r="B90" s="72">
        <f t="shared" si="21"/>
        <v>81</v>
      </c>
      <c r="C90" s="4"/>
      <c r="D90" s="4"/>
      <c r="E90" s="4"/>
      <c r="F90" s="53" t="s">
        <v>204</v>
      </c>
      <c r="G90" s="4">
        <v>632</v>
      </c>
      <c r="H90" s="4" t="s">
        <v>138</v>
      </c>
      <c r="I90" s="23">
        <v>5000</v>
      </c>
      <c r="J90" s="23">
        <v>1808</v>
      </c>
      <c r="K90" s="198">
        <f t="shared" si="22"/>
        <v>36.159999999999997</v>
      </c>
      <c r="L90" s="23"/>
      <c r="M90" s="23"/>
      <c r="N90" s="218"/>
      <c r="O90" s="23">
        <f t="shared" si="23"/>
        <v>5000</v>
      </c>
      <c r="P90" s="23">
        <f t="shared" si="24"/>
        <v>1808</v>
      </c>
      <c r="Q90" s="203">
        <f t="shared" si="25"/>
        <v>36.159999999999997</v>
      </c>
    </row>
    <row r="91" spans="2:17" x14ac:dyDescent="0.2">
      <c r="B91" s="72">
        <f t="shared" si="21"/>
        <v>82</v>
      </c>
      <c r="C91" s="4"/>
      <c r="D91" s="4"/>
      <c r="E91" s="4"/>
      <c r="F91" s="53" t="s">
        <v>204</v>
      </c>
      <c r="G91" s="4">
        <v>633</v>
      </c>
      <c r="H91" s="4" t="s">
        <v>131</v>
      </c>
      <c r="I91" s="23">
        <f>1250-1000</f>
        <v>250</v>
      </c>
      <c r="J91" s="23">
        <v>243</v>
      </c>
      <c r="K91" s="198">
        <f t="shared" si="22"/>
        <v>97.2</v>
      </c>
      <c r="L91" s="23"/>
      <c r="M91" s="23"/>
      <c r="N91" s="218"/>
      <c r="O91" s="23">
        <f t="shared" si="23"/>
        <v>250</v>
      </c>
      <c r="P91" s="23">
        <f t="shared" si="24"/>
        <v>243</v>
      </c>
      <c r="Q91" s="203">
        <f t="shared" si="25"/>
        <v>97.2</v>
      </c>
    </row>
    <row r="92" spans="2:17" x14ac:dyDescent="0.2">
      <c r="B92" s="72">
        <f t="shared" si="21"/>
        <v>83</v>
      </c>
      <c r="C92" s="4"/>
      <c r="D92" s="4"/>
      <c r="E92" s="4"/>
      <c r="F92" s="53" t="s">
        <v>204</v>
      </c>
      <c r="G92" s="4">
        <v>637</v>
      </c>
      <c r="H92" s="4" t="s">
        <v>128</v>
      </c>
      <c r="I92" s="23">
        <v>1900</v>
      </c>
      <c r="J92" s="23">
        <v>698</v>
      </c>
      <c r="K92" s="198">
        <f t="shared" si="22"/>
        <v>36.736842105263158</v>
      </c>
      <c r="L92" s="23"/>
      <c r="M92" s="23"/>
      <c r="N92" s="218"/>
      <c r="O92" s="23">
        <f t="shared" si="23"/>
        <v>1900</v>
      </c>
      <c r="P92" s="23">
        <f t="shared" si="24"/>
        <v>698</v>
      </c>
      <c r="Q92" s="203">
        <f t="shared" si="25"/>
        <v>36.736842105263158</v>
      </c>
    </row>
    <row r="93" spans="2:17" x14ac:dyDescent="0.2">
      <c r="B93" s="72">
        <f t="shared" si="21"/>
        <v>84</v>
      </c>
      <c r="C93" s="4"/>
      <c r="D93" s="4"/>
      <c r="E93" s="4"/>
      <c r="F93" s="111" t="s">
        <v>204</v>
      </c>
      <c r="G93" s="112">
        <v>710</v>
      </c>
      <c r="H93" s="121" t="s">
        <v>183</v>
      </c>
      <c r="I93" s="113"/>
      <c r="J93" s="113"/>
      <c r="K93" s="198"/>
      <c r="L93" s="113">
        <f>L94</f>
        <v>16000</v>
      </c>
      <c r="M93" s="113">
        <f>M94</f>
        <v>15968</v>
      </c>
      <c r="N93" s="218">
        <f t="shared" si="15"/>
        <v>99.8</v>
      </c>
      <c r="O93" s="113">
        <f t="shared" si="23"/>
        <v>16000</v>
      </c>
      <c r="P93" s="113">
        <f t="shared" si="24"/>
        <v>15968</v>
      </c>
      <c r="Q93" s="203">
        <f t="shared" si="25"/>
        <v>99.8</v>
      </c>
    </row>
    <row r="94" spans="2:17" x14ac:dyDescent="0.2">
      <c r="B94" s="72">
        <f t="shared" si="21"/>
        <v>85</v>
      </c>
      <c r="C94" s="4"/>
      <c r="D94" s="4"/>
      <c r="E94" s="4"/>
      <c r="F94" s="82" t="s">
        <v>204</v>
      </c>
      <c r="G94" s="83">
        <v>713</v>
      </c>
      <c r="H94" s="85" t="s">
        <v>516</v>
      </c>
      <c r="I94" s="84"/>
      <c r="J94" s="84"/>
      <c r="K94" s="198"/>
      <c r="L94" s="84">
        <f>L95</f>
        <v>16000</v>
      </c>
      <c r="M94" s="84">
        <f>M95</f>
        <v>15968</v>
      </c>
      <c r="N94" s="218">
        <f t="shared" si="15"/>
        <v>99.8</v>
      </c>
      <c r="O94" s="84">
        <f>L94</f>
        <v>16000</v>
      </c>
      <c r="P94" s="84">
        <f>M94</f>
        <v>15968</v>
      </c>
      <c r="Q94" s="203">
        <f t="shared" si="25"/>
        <v>99.8</v>
      </c>
    </row>
    <row r="95" spans="2:17" x14ac:dyDescent="0.2">
      <c r="B95" s="72">
        <f t="shared" si="21"/>
        <v>86</v>
      </c>
      <c r="C95" s="4"/>
      <c r="D95" s="4"/>
      <c r="E95" s="4"/>
      <c r="F95" s="53"/>
      <c r="G95" s="4"/>
      <c r="H95" s="35" t="s">
        <v>517</v>
      </c>
      <c r="I95" s="23"/>
      <c r="J95" s="23"/>
      <c r="K95" s="198"/>
      <c r="L95" s="23">
        <v>16000</v>
      </c>
      <c r="M95" s="23">
        <v>15968</v>
      </c>
      <c r="N95" s="218">
        <f t="shared" si="15"/>
        <v>99.8</v>
      </c>
      <c r="O95" s="23">
        <f>L95</f>
        <v>16000</v>
      </c>
      <c r="P95" s="23">
        <f>M95</f>
        <v>15968</v>
      </c>
      <c r="Q95" s="203">
        <f t="shared" si="25"/>
        <v>99.8</v>
      </c>
    </row>
    <row r="96" spans="2:17" ht="15" x14ac:dyDescent="0.2">
      <c r="B96" s="72">
        <f t="shared" si="21"/>
        <v>87</v>
      </c>
      <c r="C96" s="179">
        <v>6</v>
      </c>
      <c r="D96" s="257" t="s">
        <v>242</v>
      </c>
      <c r="E96" s="253"/>
      <c r="F96" s="253"/>
      <c r="G96" s="253"/>
      <c r="H96" s="254"/>
      <c r="I96" s="45">
        <f>I97</f>
        <v>180670</v>
      </c>
      <c r="J96" s="45">
        <f>J97</f>
        <v>171878</v>
      </c>
      <c r="K96" s="198">
        <f t="shared" ref="K96:K107" si="26">J96/I96*100</f>
        <v>95.133669120495938</v>
      </c>
      <c r="L96" s="45">
        <f>L97</f>
        <v>0</v>
      </c>
      <c r="M96" s="45">
        <f>M97</f>
        <v>0</v>
      </c>
      <c r="N96" s="220"/>
      <c r="O96" s="45">
        <f t="shared" ref="O96:O107" si="27">I96+L96</f>
        <v>180670</v>
      </c>
      <c r="P96" s="45">
        <f t="shared" ref="P96:P107" si="28">J96+M96</f>
        <v>171878</v>
      </c>
      <c r="Q96" s="203">
        <f t="shared" si="25"/>
        <v>95.133669120495938</v>
      </c>
    </row>
    <row r="97" spans="2:17" ht="15" x14ac:dyDescent="0.25">
      <c r="B97" s="72">
        <f t="shared" si="21"/>
        <v>88</v>
      </c>
      <c r="C97" s="15"/>
      <c r="D97" s="15"/>
      <c r="E97" s="15">
        <v>2</v>
      </c>
      <c r="F97" s="50"/>
      <c r="G97" s="15"/>
      <c r="H97" s="15" t="s">
        <v>256</v>
      </c>
      <c r="I97" s="47">
        <f>I98+I99+I100+I107</f>
        <v>180670</v>
      </c>
      <c r="J97" s="47">
        <f>J98+J99+J100+J107</f>
        <v>171878</v>
      </c>
      <c r="K97" s="198">
        <f t="shared" si="26"/>
        <v>95.133669120495938</v>
      </c>
      <c r="L97" s="47">
        <v>0</v>
      </c>
      <c r="M97" s="47"/>
      <c r="N97" s="207"/>
      <c r="O97" s="47">
        <f t="shared" si="27"/>
        <v>180670</v>
      </c>
      <c r="P97" s="47">
        <f t="shared" si="28"/>
        <v>171878</v>
      </c>
      <c r="Q97" s="203">
        <f t="shared" si="25"/>
        <v>95.133669120495938</v>
      </c>
    </row>
    <row r="98" spans="2:17" x14ac:dyDescent="0.2">
      <c r="B98" s="72">
        <f t="shared" si="21"/>
        <v>89</v>
      </c>
      <c r="C98" s="12"/>
      <c r="D98" s="12"/>
      <c r="E98" s="12"/>
      <c r="F98" s="52" t="s">
        <v>204</v>
      </c>
      <c r="G98" s="12">
        <v>610</v>
      </c>
      <c r="H98" s="12" t="s">
        <v>135</v>
      </c>
      <c r="I98" s="49">
        <f>85900-1400-4000</f>
        <v>80500</v>
      </c>
      <c r="J98" s="49">
        <v>80500</v>
      </c>
      <c r="K98" s="198">
        <f t="shared" si="26"/>
        <v>100</v>
      </c>
      <c r="L98" s="49"/>
      <c r="M98" s="49"/>
      <c r="N98" s="207"/>
      <c r="O98" s="49">
        <f t="shared" si="27"/>
        <v>80500</v>
      </c>
      <c r="P98" s="49">
        <f t="shared" si="28"/>
        <v>80500</v>
      </c>
      <c r="Q98" s="203">
        <f t="shared" si="25"/>
        <v>100</v>
      </c>
    </row>
    <row r="99" spans="2:17" x14ac:dyDescent="0.2">
      <c r="B99" s="72">
        <f t="shared" si="21"/>
        <v>90</v>
      </c>
      <c r="C99" s="12"/>
      <c r="D99" s="12"/>
      <c r="E99" s="12"/>
      <c r="F99" s="52" t="s">
        <v>204</v>
      </c>
      <c r="G99" s="12">
        <v>620</v>
      </c>
      <c r="H99" s="12" t="s">
        <v>130</v>
      </c>
      <c r="I99" s="49">
        <f>37430-600-1400</f>
        <v>35430</v>
      </c>
      <c r="J99" s="49">
        <v>34909</v>
      </c>
      <c r="K99" s="198">
        <f t="shared" si="26"/>
        <v>98.529494778436359</v>
      </c>
      <c r="L99" s="49"/>
      <c r="M99" s="49"/>
      <c r="N99" s="207"/>
      <c r="O99" s="49">
        <f t="shared" si="27"/>
        <v>35430</v>
      </c>
      <c r="P99" s="49">
        <f t="shared" si="28"/>
        <v>34909</v>
      </c>
      <c r="Q99" s="203">
        <f t="shared" si="25"/>
        <v>98.529494778436359</v>
      </c>
    </row>
    <row r="100" spans="2:17" x14ac:dyDescent="0.2">
      <c r="B100" s="72">
        <f t="shared" si="21"/>
        <v>91</v>
      </c>
      <c r="C100" s="12"/>
      <c r="D100" s="12"/>
      <c r="E100" s="12"/>
      <c r="F100" s="52" t="s">
        <v>204</v>
      </c>
      <c r="G100" s="12">
        <v>630</v>
      </c>
      <c r="H100" s="12" t="s">
        <v>127</v>
      </c>
      <c r="I100" s="49">
        <f>I106+I105+I104+I103+I102+I101</f>
        <v>62140</v>
      </c>
      <c r="J100" s="49">
        <f>J106+J105+J104+J103+J102+J101</f>
        <v>54074</v>
      </c>
      <c r="K100" s="198">
        <f t="shared" si="26"/>
        <v>87.019633086578693</v>
      </c>
      <c r="L100" s="49">
        <f>L106+L105+L104+L103+L102+L101</f>
        <v>0</v>
      </c>
      <c r="M100" s="49">
        <f>M106+M105+M104+M103+M102+M101</f>
        <v>0</v>
      </c>
      <c r="N100" s="207"/>
      <c r="O100" s="49">
        <f t="shared" si="27"/>
        <v>62140</v>
      </c>
      <c r="P100" s="49">
        <f t="shared" si="28"/>
        <v>54074</v>
      </c>
      <c r="Q100" s="203">
        <f t="shared" si="25"/>
        <v>87.019633086578693</v>
      </c>
    </row>
    <row r="101" spans="2:17" x14ac:dyDescent="0.2">
      <c r="B101" s="72">
        <f t="shared" si="21"/>
        <v>92</v>
      </c>
      <c r="C101" s="4"/>
      <c r="D101" s="4"/>
      <c r="E101" s="4"/>
      <c r="F101" s="53" t="s">
        <v>204</v>
      </c>
      <c r="G101" s="4">
        <v>631</v>
      </c>
      <c r="H101" s="4" t="s">
        <v>133</v>
      </c>
      <c r="I101" s="23">
        <v>100</v>
      </c>
      <c r="J101" s="23">
        <v>11</v>
      </c>
      <c r="K101" s="198">
        <f t="shared" si="26"/>
        <v>11</v>
      </c>
      <c r="L101" s="23"/>
      <c r="M101" s="23"/>
      <c r="N101" s="207"/>
      <c r="O101" s="23">
        <f t="shared" si="27"/>
        <v>100</v>
      </c>
      <c r="P101" s="23">
        <f t="shared" si="28"/>
        <v>11</v>
      </c>
      <c r="Q101" s="203">
        <f t="shared" si="25"/>
        <v>11</v>
      </c>
    </row>
    <row r="102" spans="2:17" x14ac:dyDescent="0.2">
      <c r="B102" s="72">
        <f t="shared" si="21"/>
        <v>93</v>
      </c>
      <c r="C102" s="4"/>
      <c r="D102" s="4"/>
      <c r="E102" s="4"/>
      <c r="F102" s="53" t="s">
        <v>204</v>
      </c>
      <c r="G102" s="4">
        <v>632</v>
      </c>
      <c r="H102" s="4" t="s">
        <v>138</v>
      </c>
      <c r="I102" s="23">
        <v>3200</v>
      </c>
      <c r="J102" s="23">
        <v>3022</v>
      </c>
      <c r="K102" s="198">
        <f t="shared" si="26"/>
        <v>94.4375</v>
      </c>
      <c r="L102" s="23"/>
      <c r="M102" s="23"/>
      <c r="N102" s="207"/>
      <c r="O102" s="23">
        <f t="shared" si="27"/>
        <v>3200</v>
      </c>
      <c r="P102" s="23">
        <f t="shared" si="28"/>
        <v>3022</v>
      </c>
      <c r="Q102" s="203">
        <f t="shared" si="25"/>
        <v>94.4375</v>
      </c>
    </row>
    <row r="103" spans="2:17" x14ac:dyDescent="0.2">
      <c r="B103" s="72">
        <f t="shared" si="21"/>
        <v>94</v>
      </c>
      <c r="C103" s="4"/>
      <c r="D103" s="4"/>
      <c r="E103" s="4"/>
      <c r="F103" s="53" t="s">
        <v>204</v>
      </c>
      <c r="G103" s="4">
        <v>633</v>
      </c>
      <c r="H103" s="4" t="s">
        <v>131</v>
      </c>
      <c r="I103" s="23">
        <f>3450-50</f>
        <v>3400</v>
      </c>
      <c r="J103" s="23">
        <v>2683</v>
      </c>
      <c r="K103" s="198">
        <f t="shared" si="26"/>
        <v>78.911764705882348</v>
      </c>
      <c r="L103" s="23"/>
      <c r="M103" s="23"/>
      <c r="N103" s="207"/>
      <c r="O103" s="23">
        <f t="shared" si="27"/>
        <v>3400</v>
      </c>
      <c r="P103" s="23">
        <f t="shared" si="28"/>
        <v>2683</v>
      </c>
      <c r="Q103" s="203">
        <f t="shared" si="25"/>
        <v>78.911764705882348</v>
      </c>
    </row>
    <row r="104" spans="2:17" x14ac:dyDescent="0.2">
      <c r="B104" s="72">
        <f t="shared" si="21"/>
        <v>95</v>
      </c>
      <c r="C104" s="4"/>
      <c r="D104" s="4"/>
      <c r="E104" s="4"/>
      <c r="F104" s="53" t="s">
        <v>204</v>
      </c>
      <c r="G104" s="4">
        <v>634</v>
      </c>
      <c r="H104" s="4" t="s">
        <v>136</v>
      </c>
      <c r="I104" s="23">
        <v>11500</v>
      </c>
      <c r="J104" s="23">
        <v>8486</v>
      </c>
      <c r="K104" s="198">
        <f t="shared" si="26"/>
        <v>73.791304347826099</v>
      </c>
      <c r="L104" s="23"/>
      <c r="M104" s="23"/>
      <c r="N104" s="207"/>
      <c r="O104" s="23">
        <f t="shared" si="27"/>
        <v>11500</v>
      </c>
      <c r="P104" s="23">
        <f t="shared" si="28"/>
        <v>8486</v>
      </c>
      <c r="Q104" s="203">
        <f t="shared" si="25"/>
        <v>73.791304347826099</v>
      </c>
    </row>
    <row r="105" spans="2:17" x14ac:dyDescent="0.2">
      <c r="B105" s="72">
        <f t="shared" si="21"/>
        <v>96</v>
      </c>
      <c r="C105" s="4"/>
      <c r="D105" s="4"/>
      <c r="E105" s="4"/>
      <c r="F105" s="53" t="s">
        <v>204</v>
      </c>
      <c r="G105" s="4">
        <v>635</v>
      </c>
      <c r="H105" s="4" t="s">
        <v>137</v>
      </c>
      <c r="I105" s="23">
        <f>4100-400</f>
        <v>3700</v>
      </c>
      <c r="J105" s="23">
        <v>1397</v>
      </c>
      <c r="K105" s="198">
        <f t="shared" si="26"/>
        <v>37.756756756756751</v>
      </c>
      <c r="L105" s="23"/>
      <c r="M105" s="23"/>
      <c r="N105" s="207"/>
      <c r="O105" s="23">
        <f t="shared" si="27"/>
        <v>3700</v>
      </c>
      <c r="P105" s="23">
        <f t="shared" si="28"/>
        <v>1397</v>
      </c>
      <c r="Q105" s="203">
        <f t="shared" si="25"/>
        <v>37.756756756756751</v>
      </c>
    </row>
    <row r="106" spans="2:17" x14ac:dyDescent="0.2">
      <c r="B106" s="72">
        <f t="shared" si="21"/>
        <v>97</v>
      </c>
      <c r="C106" s="4"/>
      <c r="D106" s="4"/>
      <c r="E106" s="4"/>
      <c r="F106" s="53" t="s">
        <v>204</v>
      </c>
      <c r="G106" s="4">
        <v>637</v>
      </c>
      <c r="H106" s="4" t="s">
        <v>128</v>
      </c>
      <c r="I106" s="23">
        <f>53240-13000</f>
        <v>40240</v>
      </c>
      <c r="J106" s="23">
        <v>38475</v>
      </c>
      <c r="K106" s="198">
        <f t="shared" si="26"/>
        <v>95.613817097415506</v>
      </c>
      <c r="L106" s="23"/>
      <c r="M106" s="23"/>
      <c r="N106" s="207"/>
      <c r="O106" s="23">
        <f t="shared" si="27"/>
        <v>40240</v>
      </c>
      <c r="P106" s="23">
        <f t="shared" si="28"/>
        <v>38475</v>
      </c>
      <c r="Q106" s="203">
        <f t="shared" si="25"/>
        <v>95.613817097415506</v>
      </c>
    </row>
    <row r="107" spans="2:17" x14ac:dyDescent="0.2">
      <c r="B107" s="72">
        <f t="shared" si="21"/>
        <v>98</v>
      </c>
      <c r="C107" s="12"/>
      <c r="D107" s="12"/>
      <c r="E107" s="12"/>
      <c r="F107" s="52" t="s">
        <v>204</v>
      </c>
      <c r="G107" s="12">
        <v>640</v>
      </c>
      <c r="H107" s="12" t="s">
        <v>134</v>
      </c>
      <c r="I107" s="49">
        <f>2150+50+400</f>
        <v>2600</v>
      </c>
      <c r="J107" s="49">
        <v>2395</v>
      </c>
      <c r="K107" s="198">
        <f t="shared" si="26"/>
        <v>92.115384615384613</v>
      </c>
      <c r="L107" s="49"/>
      <c r="M107" s="49"/>
      <c r="N107" s="207"/>
      <c r="O107" s="49">
        <f t="shared" si="27"/>
        <v>2600</v>
      </c>
      <c r="P107" s="49">
        <f t="shared" si="28"/>
        <v>2395</v>
      </c>
      <c r="Q107" s="203">
        <f t="shared" si="25"/>
        <v>92.115384615384613</v>
      </c>
    </row>
  </sheetData>
  <mergeCells count="27">
    <mergeCell ref="N6:N9"/>
    <mergeCell ref="B4:O4"/>
    <mergeCell ref="O5:O9"/>
    <mergeCell ref="B6:B9"/>
    <mergeCell ref="C6:C9"/>
    <mergeCell ref="D6:D9"/>
    <mergeCell ref="E6:E9"/>
    <mergeCell ref="F6:F9"/>
    <mergeCell ref="G6:G9"/>
    <mergeCell ref="H6:H9"/>
    <mergeCell ref="B5:N5"/>
    <mergeCell ref="D82:H82"/>
    <mergeCell ref="D85:H85"/>
    <mergeCell ref="D96:H96"/>
    <mergeCell ref="P5:P9"/>
    <mergeCell ref="Q5:Q9"/>
    <mergeCell ref="C10:H10"/>
    <mergeCell ref="D11:H11"/>
    <mergeCell ref="D57:H57"/>
    <mergeCell ref="E58:H58"/>
    <mergeCell ref="E63:H63"/>
    <mergeCell ref="D69:H69"/>
    <mergeCell ref="I6:I9"/>
    <mergeCell ref="L6:L9"/>
    <mergeCell ref="J6:J9"/>
    <mergeCell ref="K6:K9"/>
    <mergeCell ref="M6:M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56"/>
  <sheetViews>
    <sheetView zoomScale="90" zoomScaleNormal="90" workbookViewId="0"/>
  </sheetViews>
  <sheetFormatPr defaultRowHeight="12.75" x14ac:dyDescent="0.2"/>
  <cols>
    <col min="2" max="2" width="5.28515625" customWidth="1"/>
    <col min="3" max="3" width="4.5703125" customWidth="1"/>
    <col min="4" max="4" width="5.85546875" customWidth="1"/>
    <col min="5" max="5" width="5.28515625" customWidth="1"/>
    <col min="6" max="6" width="6.28515625" customWidth="1"/>
    <col min="7" max="7" width="3.5703125" customWidth="1"/>
    <col min="8" max="8" width="51.140625" customWidth="1"/>
    <col min="9" max="9" width="12" customWidth="1"/>
    <col min="10" max="10" width="12.85546875" customWidth="1"/>
    <col min="11" max="11" width="5.140625" customWidth="1"/>
    <col min="12" max="12" width="13.140625" customWidth="1"/>
    <col min="13" max="13" width="11.5703125" customWidth="1"/>
    <col min="14" max="14" width="6.7109375" style="217" customWidth="1"/>
    <col min="15" max="15" width="11.42578125" customWidth="1"/>
    <col min="16" max="16" width="12.42578125" customWidth="1"/>
    <col min="17" max="17" width="8.28515625" customWidth="1"/>
  </cols>
  <sheetData>
    <row r="3" spans="2:17" ht="27" x14ac:dyDescent="0.35">
      <c r="B3" s="264" t="s">
        <v>308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2:17" x14ac:dyDescent="0.2">
      <c r="B4" s="271" t="s">
        <v>280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5"/>
      <c r="O4" s="261" t="s">
        <v>575</v>
      </c>
      <c r="P4" s="250" t="s">
        <v>768</v>
      </c>
      <c r="Q4" s="251" t="s">
        <v>765</v>
      </c>
    </row>
    <row r="5" spans="2:17" x14ac:dyDescent="0.2">
      <c r="B5" s="266" t="s">
        <v>111</v>
      </c>
      <c r="C5" s="255" t="s">
        <v>119</v>
      </c>
      <c r="D5" s="255" t="s">
        <v>120</v>
      </c>
      <c r="E5" s="258" t="s">
        <v>124</v>
      </c>
      <c r="F5" s="255" t="s">
        <v>121</v>
      </c>
      <c r="G5" s="255" t="s">
        <v>122</v>
      </c>
      <c r="H5" s="273" t="s">
        <v>123</v>
      </c>
      <c r="I5" s="261" t="s">
        <v>572</v>
      </c>
      <c r="J5" s="250" t="s">
        <v>766</v>
      </c>
      <c r="K5" s="251" t="s">
        <v>765</v>
      </c>
      <c r="L5" s="261" t="s">
        <v>573</v>
      </c>
      <c r="M5" s="250" t="s">
        <v>767</v>
      </c>
      <c r="N5" s="281" t="s">
        <v>765</v>
      </c>
      <c r="O5" s="262"/>
      <c r="P5" s="250"/>
      <c r="Q5" s="251"/>
    </row>
    <row r="6" spans="2:17" x14ac:dyDescent="0.2">
      <c r="B6" s="266"/>
      <c r="C6" s="255"/>
      <c r="D6" s="255"/>
      <c r="E6" s="259"/>
      <c r="F6" s="255"/>
      <c r="G6" s="255"/>
      <c r="H6" s="273"/>
      <c r="I6" s="262"/>
      <c r="J6" s="250"/>
      <c r="K6" s="251"/>
      <c r="L6" s="262"/>
      <c r="M6" s="250"/>
      <c r="N6" s="281"/>
      <c r="O6" s="262"/>
      <c r="P6" s="250"/>
      <c r="Q6" s="251"/>
    </row>
    <row r="7" spans="2:17" x14ac:dyDescent="0.2">
      <c r="B7" s="266"/>
      <c r="C7" s="255"/>
      <c r="D7" s="255"/>
      <c r="E7" s="259"/>
      <c r="F7" s="255"/>
      <c r="G7" s="255"/>
      <c r="H7" s="273"/>
      <c r="I7" s="262"/>
      <c r="J7" s="250"/>
      <c r="K7" s="251"/>
      <c r="L7" s="262"/>
      <c r="M7" s="250"/>
      <c r="N7" s="281"/>
      <c r="O7" s="262"/>
      <c r="P7" s="250"/>
      <c r="Q7" s="251"/>
    </row>
    <row r="8" spans="2:17" ht="13.5" thickBot="1" x14ac:dyDescent="0.25">
      <c r="B8" s="267"/>
      <c r="C8" s="256"/>
      <c r="D8" s="256"/>
      <c r="E8" s="260"/>
      <c r="F8" s="256"/>
      <c r="G8" s="256"/>
      <c r="H8" s="274"/>
      <c r="I8" s="263"/>
      <c r="J8" s="250"/>
      <c r="K8" s="251"/>
      <c r="L8" s="263"/>
      <c r="M8" s="250"/>
      <c r="N8" s="281"/>
      <c r="O8" s="263"/>
      <c r="P8" s="250"/>
      <c r="Q8" s="251"/>
    </row>
    <row r="9" spans="2:17" ht="16.5" thickTop="1" x14ac:dyDescent="0.2">
      <c r="B9" s="72">
        <f t="shared" ref="B9:B40" si="0">B8+1</f>
        <v>1</v>
      </c>
      <c r="C9" s="268" t="s">
        <v>308</v>
      </c>
      <c r="D9" s="269"/>
      <c r="E9" s="269"/>
      <c r="F9" s="269"/>
      <c r="G9" s="269"/>
      <c r="H9" s="270"/>
      <c r="I9" s="44">
        <f>I146+I137+I131+I128+I118+I97+I51+I41+I26+I24+I10</f>
        <v>2542450</v>
      </c>
      <c r="J9" s="44">
        <f>J146+J137+J131+J128+J118+J97+J51+J41+J26+J24+J10</f>
        <v>2497655</v>
      </c>
      <c r="K9" s="198">
        <f t="shared" ref="K9:K19" si="1">J9/I9*100</f>
        <v>98.238116777124432</v>
      </c>
      <c r="L9" s="44">
        <f>L146+L137+L131+L128+L118+L97+L51+L41+L26+L24+L10</f>
        <v>47000</v>
      </c>
      <c r="M9" s="44">
        <f>M146+M137+M131+M128+M118+M97+M51+M41+M26+M24+M10</f>
        <v>34585</v>
      </c>
      <c r="N9" s="213">
        <f>M9/L9*100</f>
        <v>73.585106382978722</v>
      </c>
      <c r="O9" s="44">
        <f t="shared" ref="O9:O56" si="2">I9+L9</f>
        <v>2589450</v>
      </c>
      <c r="P9" s="44">
        <f t="shared" ref="P9:P56" si="3">J9+M9</f>
        <v>2532240</v>
      </c>
      <c r="Q9" s="203">
        <f t="shared" ref="Q9:Q56" si="4">P9/O9*100</f>
        <v>97.790650524242594</v>
      </c>
    </row>
    <row r="10" spans="2:17" ht="15" x14ac:dyDescent="0.2">
      <c r="B10" s="72">
        <f t="shared" si="0"/>
        <v>2</v>
      </c>
      <c r="C10" s="179">
        <v>1</v>
      </c>
      <c r="D10" s="257" t="s">
        <v>69</v>
      </c>
      <c r="E10" s="253"/>
      <c r="F10" s="253"/>
      <c r="G10" s="253"/>
      <c r="H10" s="254"/>
      <c r="I10" s="45">
        <f>I12+I13+I14+I19</f>
        <v>197740</v>
      </c>
      <c r="J10" s="45">
        <f>J11</f>
        <v>197029</v>
      </c>
      <c r="K10" s="198">
        <f t="shared" si="1"/>
        <v>99.640436937392536</v>
      </c>
      <c r="L10" s="45">
        <f>L11</f>
        <v>11300</v>
      </c>
      <c r="M10" s="45">
        <f>M11</f>
        <v>1300</v>
      </c>
      <c r="N10" s="216"/>
      <c r="O10" s="45">
        <f t="shared" si="2"/>
        <v>209040</v>
      </c>
      <c r="P10" s="45">
        <f t="shared" si="3"/>
        <v>198329</v>
      </c>
      <c r="Q10" s="203">
        <f t="shared" si="4"/>
        <v>94.876100267891317</v>
      </c>
    </row>
    <row r="11" spans="2:17" ht="15" x14ac:dyDescent="0.25">
      <c r="B11" s="72">
        <f t="shared" si="0"/>
        <v>3</v>
      </c>
      <c r="C11" s="15"/>
      <c r="D11" s="15"/>
      <c r="E11" s="15">
        <v>5</v>
      </c>
      <c r="F11" s="50"/>
      <c r="G11" s="15"/>
      <c r="H11" s="15" t="s">
        <v>265</v>
      </c>
      <c r="I11" s="47">
        <f>I10</f>
        <v>197740</v>
      </c>
      <c r="J11" s="47">
        <f>J12+J13+J14+J19</f>
        <v>197029</v>
      </c>
      <c r="K11" s="198">
        <f t="shared" si="1"/>
        <v>99.640436937392536</v>
      </c>
      <c r="L11" s="47">
        <f>L12+L13+L14+L20</f>
        <v>11300</v>
      </c>
      <c r="M11" s="47">
        <f>M12+M13+M14+M20</f>
        <v>1300</v>
      </c>
      <c r="N11" s="214"/>
      <c r="O11" s="47">
        <f t="shared" si="2"/>
        <v>209040</v>
      </c>
      <c r="P11" s="47">
        <f t="shared" si="3"/>
        <v>198329</v>
      </c>
      <c r="Q11" s="203">
        <f t="shared" si="4"/>
        <v>94.876100267891317</v>
      </c>
    </row>
    <row r="12" spans="2:17" x14ac:dyDescent="0.2">
      <c r="B12" s="72">
        <f t="shared" si="0"/>
        <v>4</v>
      </c>
      <c r="C12" s="12"/>
      <c r="D12" s="12"/>
      <c r="E12" s="12"/>
      <c r="F12" s="52" t="s">
        <v>75</v>
      </c>
      <c r="G12" s="12">
        <v>610</v>
      </c>
      <c r="H12" s="12" t="s">
        <v>135</v>
      </c>
      <c r="I12" s="49">
        <f>102655-4000</f>
        <v>98655</v>
      </c>
      <c r="J12" s="49">
        <v>98655</v>
      </c>
      <c r="K12" s="198">
        <f t="shared" si="1"/>
        <v>100</v>
      </c>
      <c r="L12" s="49"/>
      <c r="M12" s="49"/>
      <c r="N12" s="214"/>
      <c r="O12" s="49">
        <f t="shared" si="2"/>
        <v>98655</v>
      </c>
      <c r="P12" s="49">
        <f t="shared" si="3"/>
        <v>98655</v>
      </c>
      <c r="Q12" s="203">
        <f t="shared" si="4"/>
        <v>100</v>
      </c>
    </row>
    <row r="13" spans="2:17" x14ac:dyDescent="0.2">
      <c r="B13" s="72">
        <f t="shared" si="0"/>
        <v>5</v>
      </c>
      <c r="C13" s="12"/>
      <c r="D13" s="12"/>
      <c r="E13" s="12"/>
      <c r="F13" s="52" t="s">
        <v>75</v>
      </c>
      <c r="G13" s="12">
        <v>620</v>
      </c>
      <c r="H13" s="12" t="s">
        <v>130</v>
      </c>
      <c r="I13" s="49">
        <v>35930</v>
      </c>
      <c r="J13" s="49">
        <v>35803</v>
      </c>
      <c r="K13" s="198">
        <f t="shared" si="1"/>
        <v>99.646534929028661</v>
      </c>
      <c r="L13" s="49"/>
      <c r="M13" s="49"/>
      <c r="N13" s="214"/>
      <c r="O13" s="49">
        <f t="shared" si="2"/>
        <v>35930</v>
      </c>
      <c r="P13" s="49">
        <f t="shared" si="3"/>
        <v>35803</v>
      </c>
      <c r="Q13" s="203">
        <f t="shared" si="4"/>
        <v>99.646534929028661</v>
      </c>
    </row>
    <row r="14" spans="2:17" x14ac:dyDescent="0.2">
      <c r="B14" s="72">
        <f t="shared" si="0"/>
        <v>6</v>
      </c>
      <c r="C14" s="12"/>
      <c r="D14" s="12"/>
      <c r="E14" s="12"/>
      <c r="F14" s="52" t="s">
        <v>75</v>
      </c>
      <c r="G14" s="12">
        <v>630</v>
      </c>
      <c r="H14" s="12" t="s">
        <v>127</v>
      </c>
      <c r="I14" s="49">
        <f>I18+I17+I16+I15</f>
        <v>62755</v>
      </c>
      <c r="J14" s="49">
        <f>J18+J17+J16+J15</f>
        <v>62218</v>
      </c>
      <c r="K14" s="198">
        <f t="shared" si="1"/>
        <v>99.14429129153055</v>
      </c>
      <c r="L14" s="49">
        <f>L18+L17+L16+L15</f>
        <v>0</v>
      </c>
      <c r="M14" s="49">
        <f>M18+M17+M16+M15</f>
        <v>0</v>
      </c>
      <c r="N14" s="214"/>
      <c r="O14" s="49">
        <f t="shared" si="2"/>
        <v>62755</v>
      </c>
      <c r="P14" s="49">
        <f t="shared" si="3"/>
        <v>62218</v>
      </c>
      <c r="Q14" s="203">
        <f t="shared" si="4"/>
        <v>99.14429129153055</v>
      </c>
    </row>
    <row r="15" spans="2:17" x14ac:dyDescent="0.2">
      <c r="B15" s="72">
        <f t="shared" si="0"/>
        <v>7</v>
      </c>
      <c r="C15" s="4"/>
      <c r="D15" s="4"/>
      <c r="E15" s="4"/>
      <c r="F15" s="53" t="s">
        <v>75</v>
      </c>
      <c r="G15" s="4">
        <v>632</v>
      </c>
      <c r="H15" s="4" t="s">
        <v>138</v>
      </c>
      <c r="I15" s="23">
        <f>15650+3500</f>
        <v>19150</v>
      </c>
      <c r="J15" s="23">
        <v>18763</v>
      </c>
      <c r="K15" s="198">
        <f t="shared" si="1"/>
        <v>97.979112271540473</v>
      </c>
      <c r="L15" s="23"/>
      <c r="M15" s="23"/>
      <c r="N15" s="214"/>
      <c r="O15" s="23">
        <f t="shared" si="2"/>
        <v>19150</v>
      </c>
      <c r="P15" s="23">
        <f t="shared" si="3"/>
        <v>18763</v>
      </c>
      <c r="Q15" s="203">
        <f t="shared" si="4"/>
        <v>97.979112271540473</v>
      </c>
    </row>
    <row r="16" spans="2:17" x14ac:dyDescent="0.2">
      <c r="B16" s="72">
        <f t="shared" si="0"/>
        <v>8</v>
      </c>
      <c r="C16" s="4"/>
      <c r="D16" s="4"/>
      <c r="E16" s="4"/>
      <c r="F16" s="53" t="s">
        <v>75</v>
      </c>
      <c r="G16" s="4">
        <v>633</v>
      </c>
      <c r="H16" s="4" t="s">
        <v>131</v>
      </c>
      <c r="I16" s="23">
        <f>23750+5000</f>
        <v>28750</v>
      </c>
      <c r="J16" s="23">
        <v>28607</v>
      </c>
      <c r="K16" s="198">
        <f t="shared" si="1"/>
        <v>99.502608695652171</v>
      </c>
      <c r="L16" s="23"/>
      <c r="M16" s="23"/>
      <c r="N16" s="214"/>
      <c r="O16" s="23">
        <f t="shared" si="2"/>
        <v>28750</v>
      </c>
      <c r="P16" s="23">
        <f t="shared" si="3"/>
        <v>28607</v>
      </c>
      <c r="Q16" s="203">
        <f t="shared" si="4"/>
        <v>99.502608695652171</v>
      </c>
    </row>
    <row r="17" spans="2:17" x14ac:dyDescent="0.2">
      <c r="B17" s="72">
        <f t="shared" si="0"/>
        <v>9</v>
      </c>
      <c r="C17" s="4"/>
      <c r="D17" s="4"/>
      <c r="E17" s="4"/>
      <c r="F17" s="53" t="s">
        <v>75</v>
      </c>
      <c r="G17" s="4">
        <v>635</v>
      </c>
      <c r="H17" s="4" t="s">
        <v>137</v>
      </c>
      <c r="I17" s="23">
        <f>18310+6400-16300</f>
        <v>8410</v>
      </c>
      <c r="J17" s="23">
        <v>8404</v>
      </c>
      <c r="K17" s="198">
        <f t="shared" si="1"/>
        <v>99.928656361474438</v>
      </c>
      <c r="L17" s="23"/>
      <c r="M17" s="23"/>
      <c r="N17" s="214"/>
      <c r="O17" s="23">
        <f t="shared" si="2"/>
        <v>8410</v>
      </c>
      <c r="P17" s="23">
        <f t="shared" si="3"/>
        <v>8404</v>
      </c>
      <c r="Q17" s="203">
        <f t="shared" si="4"/>
        <v>99.928656361474438</v>
      </c>
    </row>
    <row r="18" spans="2:17" x14ac:dyDescent="0.2">
      <c r="B18" s="72">
        <f t="shared" si="0"/>
        <v>10</v>
      </c>
      <c r="C18" s="4"/>
      <c r="D18" s="4"/>
      <c r="E18" s="4"/>
      <c r="F18" s="53" t="s">
        <v>75</v>
      </c>
      <c r="G18" s="4">
        <v>637</v>
      </c>
      <c r="H18" s="4" t="s">
        <v>128</v>
      </c>
      <c r="I18" s="23">
        <f>4330+275+1840</f>
        <v>6445</v>
      </c>
      <c r="J18" s="23">
        <v>6444</v>
      </c>
      <c r="K18" s="198">
        <f t="shared" si="1"/>
        <v>99.984484096198599</v>
      </c>
      <c r="L18" s="23"/>
      <c r="M18" s="23"/>
      <c r="N18" s="214"/>
      <c r="O18" s="23">
        <f t="shared" si="2"/>
        <v>6445</v>
      </c>
      <c r="P18" s="23">
        <f t="shared" si="3"/>
        <v>6444</v>
      </c>
      <c r="Q18" s="203">
        <f t="shared" si="4"/>
        <v>99.984484096198599</v>
      </c>
    </row>
    <row r="19" spans="2:17" x14ac:dyDescent="0.2">
      <c r="B19" s="72">
        <f t="shared" si="0"/>
        <v>11</v>
      </c>
      <c r="C19" s="12"/>
      <c r="D19" s="12"/>
      <c r="E19" s="12"/>
      <c r="F19" s="52" t="s">
        <v>75</v>
      </c>
      <c r="G19" s="12">
        <v>640</v>
      </c>
      <c r="H19" s="12" t="s">
        <v>134</v>
      </c>
      <c r="I19" s="49">
        <f>300+100</f>
        <v>400</v>
      </c>
      <c r="J19" s="49">
        <v>353</v>
      </c>
      <c r="K19" s="198">
        <f t="shared" si="1"/>
        <v>88.25</v>
      </c>
      <c r="L19" s="49"/>
      <c r="M19" s="49"/>
      <c r="N19" s="214"/>
      <c r="O19" s="49">
        <f t="shared" si="2"/>
        <v>400</v>
      </c>
      <c r="P19" s="49">
        <f t="shared" si="3"/>
        <v>353</v>
      </c>
      <c r="Q19" s="203">
        <f t="shared" si="4"/>
        <v>88.25</v>
      </c>
    </row>
    <row r="20" spans="2:17" x14ac:dyDescent="0.2">
      <c r="B20" s="72">
        <f t="shared" si="0"/>
        <v>12</v>
      </c>
      <c r="C20" s="12"/>
      <c r="D20" s="12"/>
      <c r="E20" s="12"/>
      <c r="F20" s="52" t="s">
        <v>75</v>
      </c>
      <c r="G20" s="12">
        <v>710</v>
      </c>
      <c r="H20" s="12" t="s">
        <v>183</v>
      </c>
      <c r="I20" s="49">
        <f>I21</f>
        <v>0</v>
      </c>
      <c r="J20" s="49">
        <f>J21</f>
        <v>0</v>
      </c>
      <c r="K20" s="198"/>
      <c r="L20" s="49">
        <f>L21</f>
        <v>11300</v>
      </c>
      <c r="M20" s="49">
        <f>M21</f>
        <v>1300</v>
      </c>
      <c r="N20" s="214">
        <f t="shared" ref="N20:N22" si="5">M20/L20*100</f>
        <v>11.504424778761061</v>
      </c>
      <c r="O20" s="49">
        <f t="shared" si="2"/>
        <v>11300</v>
      </c>
      <c r="P20" s="49">
        <f t="shared" si="3"/>
        <v>1300</v>
      </c>
      <c r="Q20" s="203">
        <f t="shared" si="4"/>
        <v>11.504424778761061</v>
      </c>
    </row>
    <row r="21" spans="2:17" x14ac:dyDescent="0.2">
      <c r="B21" s="72">
        <f t="shared" si="0"/>
        <v>13</v>
      </c>
      <c r="C21" s="12"/>
      <c r="D21" s="12"/>
      <c r="E21" s="12"/>
      <c r="F21" s="82" t="s">
        <v>75</v>
      </c>
      <c r="G21" s="83">
        <v>716</v>
      </c>
      <c r="H21" s="83" t="s">
        <v>0</v>
      </c>
      <c r="I21" s="84"/>
      <c r="J21" s="84"/>
      <c r="K21" s="198"/>
      <c r="L21" s="84">
        <f>L22+L23</f>
        <v>11300</v>
      </c>
      <c r="M21" s="84">
        <f>M22+M23</f>
        <v>1300</v>
      </c>
      <c r="N21" s="214">
        <f t="shared" si="5"/>
        <v>11.504424778761061</v>
      </c>
      <c r="O21" s="84">
        <f t="shared" si="2"/>
        <v>11300</v>
      </c>
      <c r="P21" s="84">
        <f t="shared" si="3"/>
        <v>1300</v>
      </c>
      <c r="Q21" s="203">
        <f t="shared" si="4"/>
        <v>11.504424778761061</v>
      </c>
    </row>
    <row r="22" spans="2:17" x14ac:dyDescent="0.2">
      <c r="B22" s="72">
        <f t="shared" si="0"/>
        <v>14</v>
      </c>
      <c r="C22" s="12"/>
      <c r="D22" s="12"/>
      <c r="E22" s="12"/>
      <c r="F22" s="53"/>
      <c r="G22" s="4"/>
      <c r="H22" s="4" t="s">
        <v>745</v>
      </c>
      <c r="I22" s="23"/>
      <c r="J22" s="23"/>
      <c r="K22" s="198"/>
      <c r="L22" s="23">
        <v>1300</v>
      </c>
      <c r="M22" s="23">
        <v>1300</v>
      </c>
      <c r="N22" s="214">
        <f t="shared" si="5"/>
        <v>100</v>
      </c>
      <c r="O22" s="23">
        <f t="shared" si="2"/>
        <v>1300</v>
      </c>
      <c r="P22" s="23">
        <f t="shared" si="3"/>
        <v>1300</v>
      </c>
      <c r="Q22" s="203">
        <f t="shared" si="4"/>
        <v>100</v>
      </c>
    </row>
    <row r="23" spans="2:17" x14ac:dyDescent="0.2">
      <c r="B23" s="72">
        <f t="shared" si="0"/>
        <v>15</v>
      </c>
      <c r="C23" s="12"/>
      <c r="D23" s="12"/>
      <c r="E23" s="12"/>
      <c r="F23" s="53"/>
      <c r="G23" s="4"/>
      <c r="H23" s="4" t="s">
        <v>744</v>
      </c>
      <c r="I23" s="23"/>
      <c r="J23" s="23"/>
      <c r="K23" s="198"/>
      <c r="L23" s="23">
        <v>10000</v>
      </c>
      <c r="M23" s="23"/>
      <c r="N23" s="214"/>
      <c r="O23" s="23">
        <f t="shared" si="2"/>
        <v>10000</v>
      </c>
      <c r="P23" s="23">
        <f t="shared" si="3"/>
        <v>0</v>
      </c>
      <c r="Q23" s="203">
        <f t="shared" si="4"/>
        <v>0</v>
      </c>
    </row>
    <row r="24" spans="2:17" ht="15" x14ac:dyDescent="0.2">
      <c r="B24" s="72">
        <f t="shared" si="0"/>
        <v>16</v>
      </c>
      <c r="C24" s="179">
        <v>2</v>
      </c>
      <c r="D24" s="257" t="s">
        <v>236</v>
      </c>
      <c r="E24" s="253"/>
      <c r="F24" s="253"/>
      <c r="G24" s="253"/>
      <c r="H24" s="254"/>
      <c r="I24" s="45">
        <f>I25</f>
        <v>800</v>
      </c>
      <c r="J24" s="45">
        <f>J25</f>
        <v>789</v>
      </c>
      <c r="K24" s="198">
        <f t="shared" ref="K24:K56" si="6">J24/I24*100</f>
        <v>98.625</v>
      </c>
      <c r="L24" s="45">
        <f>L25</f>
        <v>0</v>
      </c>
      <c r="M24" s="45">
        <f>M25</f>
        <v>0</v>
      </c>
      <c r="N24" s="216"/>
      <c r="O24" s="45">
        <f t="shared" si="2"/>
        <v>800</v>
      </c>
      <c r="P24" s="45">
        <f t="shared" si="3"/>
        <v>789</v>
      </c>
      <c r="Q24" s="203">
        <f t="shared" si="4"/>
        <v>98.625</v>
      </c>
    </row>
    <row r="25" spans="2:17" x14ac:dyDescent="0.2">
      <c r="B25" s="72">
        <f t="shared" si="0"/>
        <v>17</v>
      </c>
      <c r="C25" s="12"/>
      <c r="D25" s="12"/>
      <c r="E25" s="12"/>
      <c r="F25" s="52" t="s">
        <v>235</v>
      </c>
      <c r="G25" s="12">
        <v>640</v>
      </c>
      <c r="H25" s="12" t="s">
        <v>134</v>
      </c>
      <c r="I25" s="49">
        <f>2000-400-800</f>
        <v>800</v>
      </c>
      <c r="J25" s="49">
        <v>789</v>
      </c>
      <c r="K25" s="198">
        <f t="shared" si="6"/>
        <v>98.625</v>
      </c>
      <c r="L25" s="49"/>
      <c r="M25" s="49"/>
      <c r="N25" s="214"/>
      <c r="O25" s="49">
        <f t="shared" si="2"/>
        <v>800</v>
      </c>
      <c r="P25" s="49">
        <f t="shared" si="3"/>
        <v>789</v>
      </c>
      <c r="Q25" s="203">
        <f t="shared" si="4"/>
        <v>98.625</v>
      </c>
    </row>
    <row r="26" spans="2:17" ht="15" x14ac:dyDescent="0.2">
      <c r="B26" s="72">
        <f t="shared" si="0"/>
        <v>18</v>
      </c>
      <c r="C26" s="179">
        <v>3</v>
      </c>
      <c r="D26" s="257" t="s">
        <v>252</v>
      </c>
      <c r="E26" s="253"/>
      <c r="F26" s="253"/>
      <c r="G26" s="253"/>
      <c r="H26" s="254"/>
      <c r="I26" s="45">
        <f>I27</f>
        <v>32070</v>
      </c>
      <c r="J26" s="45">
        <f>J27</f>
        <v>32070</v>
      </c>
      <c r="K26" s="198">
        <f t="shared" si="6"/>
        <v>100</v>
      </c>
      <c r="L26" s="45">
        <v>0</v>
      </c>
      <c r="M26" s="45"/>
      <c r="N26" s="216"/>
      <c r="O26" s="45">
        <f t="shared" si="2"/>
        <v>32070</v>
      </c>
      <c r="P26" s="45">
        <f t="shared" si="3"/>
        <v>32070</v>
      </c>
      <c r="Q26" s="203">
        <f t="shared" si="4"/>
        <v>100</v>
      </c>
    </row>
    <row r="27" spans="2:17" x14ac:dyDescent="0.2">
      <c r="B27" s="72">
        <f t="shared" si="0"/>
        <v>19</v>
      </c>
      <c r="C27" s="66"/>
      <c r="D27" s="66"/>
      <c r="E27" s="66"/>
      <c r="F27" s="69" t="s">
        <v>251</v>
      </c>
      <c r="G27" s="66">
        <v>640</v>
      </c>
      <c r="H27" s="66" t="s">
        <v>134</v>
      </c>
      <c r="I27" s="68">
        <f>I28+I29+I30+I31+I39+I40</f>
        <v>32070</v>
      </c>
      <c r="J27" s="68">
        <f>J28+J29+J30+J31+J39+J40</f>
        <v>32070</v>
      </c>
      <c r="K27" s="198">
        <f t="shared" si="6"/>
        <v>100</v>
      </c>
      <c r="L27" s="68"/>
      <c r="M27" s="68"/>
      <c r="N27" s="215"/>
      <c r="O27" s="68">
        <f t="shared" si="2"/>
        <v>32070</v>
      </c>
      <c r="P27" s="68">
        <f t="shared" si="3"/>
        <v>32070</v>
      </c>
      <c r="Q27" s="203">
        <f t="shared" si="4"/>
        <v>100</v>
      </c>
    </row>
    <row r="28" spans="2:17" x14ac:dyDescent="0.2">
      <c r="B28" s="72">
        <f t="shared" si="0"/>
        <v>20</v>
      </c>
      <c r="C28" s="66"/>
      <c r="D28" s="67"/>
      <c r="E28" s="66"/>
      <c r="F28" s="80" t="s">
        <v>251</v>
      </c>
      <c r="G28" s="81">
        <v>640</v>
      </c>
      <c r="H28" s="81" t="s">
        <v>233</v>
      </c>
      <c r="I28" s="65">
        <v>5000</v>
      </c>
      <c r="J28" s="65">
        <v>5000</v>
      </c>
      <c r="K28" s="198">
        <f t="shared" si="6"/>
        <v>100</v>
      </c>
      <c r="L28" s="68"/>
      <c r="M28" s="68"/>
      <c r="N28" s="215"/>
      <c r="O28" s="65">
        <f t="shared" si="2"/>
        <v>5000</v>
      </c>
      <c r="P28" s="65">
        <f t="shared" si="3"/>
        <v>5000</v>
      </c>
      <c r="Q28" s="203">
        <f t="shared" si="4"/>
        <v>100</v>
      </c>
    </row>
    <row r="29" spans="2:17" x14ac:dyDescent="0.2">
      <c r="B29" s="72">
        <f t="shared" si="0"/>
        <v>21</v>
      </c>
      <c r="C29" s="66"/>
      <c r="D29" s="67"/>
      <c r="E29" s="66"/>
      <c r="F29" s="80" t="s">
        <v>251</v>
      </c>
      <c r="G29" s="81">
        <v>640</v>
      </c>
      <c r="H29" s="86" t="s">
        <v>355</v>
      </c>
      <c r="I29" s="65">
        <f>906-106</f>
        <v>800</v>
      </c>
      <c r="J29" s="65">
        <v>800</v>
      </c>
      <c r="K29" s="198">
        <f t="shared" si="6"/>
        <v>100</v>
      </c>
      <c r="L29" s="68"/>
      <c r="M29" s="68"/>
      <c r="N29" s="215"/>
      <c r="O29" s="65">
        <f t="shared" si="2"/>
        <v>800</v>
      </c>
      <c r="P29" s="65">
        <f t="shared" si="3"/>
        <v>800</v>
      </c>
      <c r="Q29" s="203">
        <f t="shared" si="4"/>
        <v>100</v>
      </c>
    </row>
    <row r="30" spans="2:17" x14ac:dyDescent="0.2">
      <c r="B30" s="72">
        <f t="shared" si="0"/>
        <v>22</v>
      </c>
      <c r="C30" s="66"/>
      <c r="D30" s="67"/>
      <c r="E30" s="66"/>
      <c r="F30" s="80" t="s">
        <v>251</v>
      </c>
      <c r="G30" s="81">
        <v>640</v>
      </c>
      <c r="H30" s="81" t="s">
        <v>356</v>
      </c>
      <c r="I30" s="65">
        <f>1928+52</f>
        <v>1980</v>
      </c>
      <c r="J30" s="65">
        <v>1980</v>
      </c>
      <c r="K30" s="198">
        <f t="shared" si="6"/>
        <v>100</v>
      </c>
      <c r="L30" s="68"/>
      <c r="M30" s="68"/>
      <c r="N30" s="215"/>
      <c r="O30" s="65">
        <f t="shared" si="2"/>
        <v>1980</v>
      </c>
      <c r="P30" s="65">
        <f t="shared" si="3"/>
        <v>1980</v>
      </c>
      <c r="Q30" s="203">
        <f t="shared" si="4"/>
        <v>100</v>
      </c>
    </row>
    <row r="31" spans="2:17" ht="24" x14ac:dyDescent="0.2">
      <c r="B31" s="72">
        <f t="shared" si="0"/>
        <v>23</v>
      </c>
      <c r="C31" s="66"/>
      <c r="D31" s="67"/>
      <c r="E31" s="66"/>
      <c r="F31" s="80" t="s">
        <v>251</v>
      </c>
      <c r="G31" s="81">
        <v>640</v>
      </c>
      <c r="H31" s="86" t="s">
        <v>357</v>
      </c>
      <c r="I31" s="65">
        <f>SUM(I32:I38)</f>
        <v>8290</v>
      </c>
      <c r="J31" s="65">
        <f>SUM(J32:J38)</f>
        <v>8290</v>
      </c>
      <c r="K31" s="198">
        <f t="shared" si="6"/>
        <v>100</v>
      </c>
      <c r="L31" s="68"/>
      <c r="M31" s="68"/>
      <c r="N31" s="215"/>
      <c r="O31" s="65">
        <f t="shared" si="2"/>
        <v>8290</v>
      </c>
      <c r="P31" s="65">
        <f t="shared" si="3"/>
        <v>8290</v>
      </c>
      <c r="Q31" s="203">
        <f t="shared" si="4"/>
        <v>100</v>
      </c>
    </row>
    <row r="32" spans="2:17" x14ac:dyDescent="0.2">
      <c r="B32" s="72">
        <f t="shared" si="0"/>
        <v>24</v>
      </c>
      <c r="C32" s="66"/>
      <c r="D32" s="67"/>
      <c r="E32" s="66"/>
      <c r="F32" s="80"/>
      <c r="G32" s="81"/>
      <c r="H32" s="86" t="s">
        <v>358</v>
      </c>
      <c r="I32" s="65">
        <f>422+34</f>
        <v>456</v>
      </c>
      <c r="J32" s="65">
        <v>456</v>
      </c>
      <c r="K32" s="198">
        <f t="shared" si="6"/>
        <v>100</v>
      </c>
      <c r="L32" s="68"/>
      <c r="M32" s="68"/>
      <c r="N32" s="215"/>
      <c r="O32" s="65">
        <f t="shared" si="2"/>
        <v>456</v>
      </c>
      <c r="P32" s="65">
        <f t="shared" si="3"/>
        <v>456</v>
      </c>
      <c r="Q32" s="203">
        <f t="shared" si="4"/>
        <v>100</v>
      </c>
    </row>
    <row r="33" spans="2:17" x14ac:dyDescent="0.2">
      <c r="B33" s="72">
        <f t="shared" si="0"/>
        <v>25</v>
      </c>
      <c r="C33" s="66"/>
      <c r="D33" s="67"/>
      <c r="E33" s="66"/>
      <c r="F33" s="80"/>
      <c r="G33" s="81"/>
      <c r="H33" s="86" t="s">
        <v>359</v>
      </c>
      <c r="I33" s="65">
        <f>1819+124</f>
        <v>1943</v>
      </c>
      <c r="J33" s="65">
        <v>1943</v>
      </c>
      <c r="K33" s="198">
        <f t="shared" si="6"/>
        <v>100</v>
      </c>
      <c r="L33" s="68"/>
      <c r="M33" s="68"/>
      <c r="N33" s="215"/>
      <c r="O33" s="65">
        <f t="shared" si="2"/>
        <v>1943</v>
      </c>
      <c r="P33" s="65">
        <f t="shared" si="3"/>
        <v>1943</v>
      </c>
      <c r="Q33" s="203">
        <f t="shared" si="4"/>
        <v>100</v>
      </c>
    </row>
    <row r="34" spans="2:17" x14ac:dyDescent="0.2">
      <c r="B34" s="72">
        <f t="shared" si="0"/>
        <v>26</v>
      </c>
      <c r="C34" s="66"/>
      <c r="D34" s="67"/>
      <c r="E34" s="66"/>
      <c r="F34" s="80"/>
      <c r="G34" s="81"/>
      <c r="H34" s="86" t="s">
        <v>360</v>
      </c>
      <c r="I34" s="65">
        <f>1363+67</f>
        <v>1430</v>
      </c>
      <c r="J34" s="65">
        <v>1430</v>
      </c>
      <c r="K34" s="198">
        <f t="shared" si="6"/>
        <v>100</v>
      </c>
      <c r="L34" s="68"/>
      <c r="M34" s="68"/>
      <c r="N34" s="215"/>
      <c r="O34" s="65">
        <f t="shared" si="2"/>
        <v>1430</v>
      </c>
      <c r="P34" s="65">
        <f t="shared" si="3"/>
        <v>1430</v>
      </c>
      <c r="Q34" s="203">
        <f t="shared" si="4"/>
        <v>100</v>
      </c>
    </row>
    <row r="35" spans="2:17" x14ac:dyDescent="0.2">
      <c r="B35" s="72">
        <f t="shared" si="0"/>
        <v>27</v>
      </c>
      <c r="C35" s="66"/>
      <c r="D35" s="67"/>
      <c r="E35" s="66"/>
      <c r="F35" s="80"/>
      <c r="G35" s="81"/>
      <c r="H35" s="86" t="s">
        <v>361</v>
      </c>
      <c r="I35" s="65">
        <f>370-24</f>
        <v>346</v>
      </c>
      <c r="J35" s="65">
        <v>346</v>
      </c>
      <c r="K35" s="198">
        <f t="shared" si="6"/>
        <v>100</v>
      </c>
      <c r="L35" s="68"/>
      <c r="M35" s="68"/>
      <c r="N35" s="215"/>
      <c r="O35" s="65">
        <f t="shared" si="2"/>
        <v>346</v>
      </c>
      <c r="P35" s="65">
        <f t="shared" si="3"/>
        <v>346</v>
      </c>
      <c r="Q35" s="203">
        <f t="shared" si="4"/>
        <v>100</v>
      </c>
    </row>
    <row r="36" spans="2:17" x14ac:dyDescent="0.2">
      <c r="B36" s="72">
        <f t="shared" si="0"/>
        <v>28</v>
      </c>
      <c r="C36" s="66"/>
      <c r="D36" s="67"/>
      <c r="E36" s="66"/>
      <c r="F36" s="80"/>
      <c r="G36" s="81"/>
      <c r="H36" s="86" t="s">
        <v>362</v>
      </c>
      <c r="I36" s="65">
        <f>478+198</f>
        <v>676</v>
      </c>
      <c r="J36" s="65">
        <v>676</v>
      </c>
      <c r="K36" s="198">
        <f t="shared" si="6"/>
        <v>100</v>
      </c>
      <c r="L36" s="68"/>
      <c r="M36" s="68"/>
      <c r="N36" s="215"/>
      <c r="O36" s="65">
        <f t="shared" si="2"/>
        <v>676</v>
      </c>
      <c r="P36" s="65">
        <f t="shared" si="3"/>
        <v>676</v>
      </c>
      <c r="Q36" s="203">
        <f t="shared" si="4"/>
        <v>100</v>
      </c>
    </row>
    <row r="37" spans="2:17" x14ac:dyDescent="0.2">
      <c r="B37" s="72">
        <f t="shared" si="0"/>
        <v>29</v>
      </c>
      <c r="C37" s="66"/>
      <c r="D37" s="67"/>
      <c r="E37" s="66"/>
      <c r="F37" s="80"/>
      <c r="G37" s="81"/>
      <c r="H37" s="86" t="s">
        <v>363</v>
      </c>
      <c r="I37" s="65">
        <f>1080-17</f>
        <v>1063</v>
      </c>
      <c r="J37" s="65">
        <v>1063</v>
      </c>
      <c r="K37" s="198">
        <f t="shared" si="6"/>
        <v>100</v>
      </c>
      <c r="L37" s="68"/>
      <c r="M37" s="68"/>
      <c r="N37" s="215"/>
      <c r="O37" s="65">
        <f t="shared" si="2"/>
        <v>1063</v>
      </c>
      <c r="P37" s="65">
        <f t="shared" si="3"/>
        <v>1063</v>
      </c>
      <c r="Q37" s="203">
        <f t="shared" si="4"/>
        <v>100</v>
      </c>
    </row>
    <row r="38" spans="2:17" x14ac:dyDescent="0.2">
      <c r="B38" s="72">
        <f t="shared" si="0"/>
        <v>30</v>
      </c>
      <c r="C38" s="66"/>
      <c r="D38" s="67"/>
      <c r="E38" s="66"/>
      <c r="F38" s="80"/>
      <c r="G38" s="81"/>
      <c r="H38" s="86" t="s">
        <v>364</v>
      </c>
      <c r="I38" s="65">
        <f>2704-328</f>
        <v>2376</v>
      </c>
      <c r="J38" s="65">
        <v>2376</v>
      </c>
      <c r="K38" s="198">
        <f t="shared" si="6"/>
        <v>100</v>
      </c>
      <c r="L38" s="68"/>
      <c r="M38" s="68"/>
      <c r="N38" s="215"/>
      <c r="O38" s="65">
        <f t="shared" si="2"/>
        <v>2376</v>
      </c>
      <c r="P38" s="65">
        <f t="shared" si="3"/>
        <v>2376</v>
      </c>
      <c r="Q38" s="203">
        <f t="shared" si="4"/>
        <v>100</v>
      </c>
    </row>
    <row r="39" spans="2:17" ht="24" x14ac:dyDescent="0.2">
      <c r="B39" s="72">
        <f t="shared" si="0"/>
        <v>31</v>
      </c>
      <c r="C39" s="66"/>
      <c r="D39" s="67"/>
      <c r="E39" s="66"/>
      <c r="F39" s="80" t="s">
        <v>251</v>
      </c>
      <c r="G39" s="81">
        <v>640</v>
      </c>
      <c r="H39" s="86" t="s">
        <v>424</v>
      </c>
      <c r="I39" s="65">
        <v>7000</v>
      </c>
      <c r="J39" s="65">
        <v>7000</v>
      </c>
      <c r="K39" s="198">
        <f t="shared" si="6"/>
        <v>100</v>
      </c>
      <c r="L39" s="68"/>
      <c r="M39" s="68"/>
      <c r="N39" s="215"/>
      <c r="O39" s="65">
        <f t="shared" si="2"/>
        <v>7000</v>
      </c>
      <c r="P39" s="65">
        <f t="shared" si="3"/>
        <v>7000</v>
      </c>
      <c r="Q39" s="203">
        <f t="shared" si="4"/>
        <v>100</v>
      </c>
    </row>
    <row r="40" spans="2:17" x14ac:dyDescent="0.2">
      <c r="B40" s="72">
        <f t="shared" si="0"/>
        <v>32</v>
      </c>
      <c r="C40" s="66"/>
      <c r="D40" s="67"/>
      <c r="E40" s="66"/>
      <c r="F40" s="80" t="s">
        <v>251</v>
      </c>
      <c r="G40" s="81">
        <v>640</v>
      </c>
      <c r="H40" s="86" t="s">
        <v>727</v>
      </c>
      <c r="I40" s="65">
        <v>9000</v>
      </c>
      <c r="J40" s="65">
        <v>9000</v>
      </c>
      <c r="K40" s="198">
        <f t="shared" si="6"/>
        <v>100</v>
      </c>
      <c r="L40" s="68"/>
      <c r="M40" s="68"/>
      <c r="N40" s="215"/>
      <c r="O40" s="65">
        <f t="shared" si="2"/>
        <v>9000</v>
      </c>
      <c r="P40" s="65">
        <f t="shared" si="3"/>
        <v>9000</v>
      </c>
      <c r="Q40" s="203">
        <f t="shared" si="4"/>
        <v>100</v>
      </c>
    </row>
    <row r="41" spans="2:17" ht="15" x14ac:dyDescent="0.2">
      <c r="B41" s="72">
        <f t="shared" ref="B41:B72" si="7">B40+1</f>
        <v>33</v>
      </c>
      <c r="C41" s="179">
        <v>4</v>
      </c>
      <c r="D41" s="257" t="s">
        <v>241</v>
      </c>
      <c r="E41" s="253"/>
      <c r="F41" s="253"/>
      <c r="G41" s="253"/>
      <c r="H41" s="254"/>
      <c r="I41" s="45">
        <f>I42</f>
        <v>68342</v>
      </c>
      <c r="J41" s="45">
        <f>J42</f>
        <v>63569</v>
      </c>
      <c r="K41" s="198">
        <f t="shared" si="6"/>
        <v>93.016007725849406</v>
      </c>
      <c r="L41" s="45">
        <f>L42</f>
        <v>0</v>
      </c>
      <c r="M41" s="45">
        <f>M42</f>
        <v>0</v>
      </c>
      <c r="N41" s="216"/>
      <c r="O41" s="45">
        <f t="shared" si="2"/>
        <v>68342</v>
      </c>
      <c r="P41" s="45">
        <f t="shared" si="3"/>
        <v>63569</v>
      </c>
      <c r="Q41" s="203">
        <f t="shared" si="4"/>
        <v>93.016007725849406</v>
      </c>
    </row>
    <row r="42" spans="2:17" ht="15" x14ac:dyDescent="0.25">
      <c r="B42" s="72">
        <f t="shared" si="7"/>
        <v>34</v>
      </c>
      <c r="C42" s="15"/>
      <c r="D42" s="15"/>
      <c r="E42" s="15">
        <v>5</v>
      </c>
      <c r="F42" s="50"/>
      <c r="G42" s="15"/>
      <c r="H42" s="15" t="s">
        <v>265</v>
      </c>
      <c r="I42" s="47">
        <f>I43+I44+I45+I50</f>
        <v>68342</v>
      </c>
      <c r="J42" s="47">
        <f>J43+J44+J45+J50</f>
        <v>63569</v>
      </c>
      <c r="K42" s="198">
        <f t="shared" si="6"/>
        <v>93.016007725849406</v>
      </c>
      <c r="L42" s="47">
        <f>L43+L44+L45+L50</f>
        <v>0</v>
      </c>
      <c r="M42" s="47">
        <f>M43+M44+M45+M50</f>
        <v>0</v>
      </c>
      <c r="N42" s="214"/>
      <c r="O42" s="47">
        <f t="shared" si="2"/>
        <v>68342</v>
      </c>
      <c r="P42" s="47">
        <f t="shared" si="3"/>
        <v>63569</v>
      </c>
      <c r="Q42" s="203">
        <f t="shared" si="4"/>
        <v>93.016007725849406</v>
      </c>
    </row>
    <row r="43" spans="2:17" x14ac:dyDescent="0.2">
      <c r="B43" s="72">
        <f t="shared" si="7"/>
        <v>35</v>
      </c>
      <c r="C43" s="12"/>
      <c r="D43" s="12"/>
      <c r="E43" s="12"/>
      <c r="F43" s="52" t="s">
        <v>235</v>
      </c>
      <c r="G43" s="12">
        <v>610</v>
      </c>
      <c r="H43" s="12" t="s">
        <v>135</v>
      </c>
      <c r="I43" s="49">
        <f>20860+10460+1500+1722</f>
        <v>34542</v>
      </c>
      <c r="J43" s="49">
        <v>34542</v>
      </c>
      <c r="K43" s="198">
        <f t="shared" si="6"/>
        <v>100</v>
      </c>
      <c r="L43" s="49"/>
      <c r="M43" s="49"/>
      <c r="N43" s="214"/>
      <c r="O43" s="49">
        <f t="shared" si="2"/>
        <v>34542</v>
      </c>
      <c r="P43" s="49">
        <f t="shared" si="3"/>
        <v>34542</v>
      </c>
      <c r="Q43" s="203">
        <f t="shared" si="4"/>
        <v>100</v>
      </c>
    </row>
    <row r="44" spans="2:17" x14ac:dyDescent="0.2">
      <c r="B44" s="72">
        <f t="shared" si="7"/>
        <v>36</v>
      </c>
      <c r="C44" s="12"/>
      <c r="D44" s="12"/>
      <c r="E44" s="12"/>
      <c r="F44" s="52" t="s">
        <v>235</v>
      </c>
      <c r="G44" s="12">
        <v>620</v>
      </c>
      <c r="H44" s="12" t="s">
        <v>130</v>
      </c>
      <c r="I44" s="49">
        <f>7300+3660+527+603</f>
        <v>12090</v>
      </c>
      <c r="J44" s="49">
        <v>11997</v>
      </c>
      <c r="K44" s="198">
        <f t="shared" si="6"/>
        <v>99.230769230769226</v>
      </c>
      <c r="L44" s="49"/>
      <c r="M44" s="49"/>
      <c r="N44" s="214"/>
      <c r="O44" s="49">
        <f t="shared" si="2"/>
        <v>12090</v>
      </c>
      <c r="P44" s="49">
        <f t="shared" si="3"/>
        <v>11997</v>
      </c>
      <c r="Q44" s="203">
        <f t="shared" si="4"/>
        <v>99.230769230769226</v>
      </c>
    </row>
    <row r="45" spans="2:17" x14ac:dyDescent="0.2">
      <c r="B45" s="72">
        <f t="shared" si="7"/>
        <v>37</v>
      </c>
      <c r="C45" s="12"/>
      <c r="D45" s="12"/>
      <c r="E45" s="12"/>
      <c r="F45" s="52" t="s">
        <v>235</v>
      </c>
      <c r="G45" s="12">
        <v>630</v>
      </c>
      <c r="H45" s="12" t="s">
        <v>127</v>
      </c>
      <c r="I45" s="49">
        <f>I49+I48+I47+I46</f>
        <v>21650</v>
      </c>
      <c r="J45" s="49">
        <f>J49+J48+J47+J46</f>
        <v>16993</v>
      </c>
      <c r="K45" s="198">
        <f t="shared" si="6"/>
        <v>78.489607390300236</v>
      </c>
      <c r="L45" s="49">
        <f>L49+L48+L47+L46</f>
        <v>0</v>
      </c>
      <c r="M45" s="49">
        <f>M49+M48+M47+M46</f>
        <v>0</v>
      </c>
      <c r="N45" s="214"/>
      <c r="O45" s="49">
        <f t="shared" si="2"/>
        <v>21650</v>
      </c>
      <c r="P45" s="49">
        <f t="shared" si="3"/>
        <v>16993</v>
      </c>
      <c r="Q45" s="203">
        <f t="shared" si="4"/>
        <v>78.489607390300236</v>
      </c>
    </row>
    <row r="46" spans="2:17" x14ac:dyDescent="0.2">
      <c r="B46" s="72">
        <f t="shared" si="7"/>
        <v>38</v>
      </c>
      <c r="C46" s="4"/>
      <c r="D46" s="4"/>
      <c r="E46" s="4"/>
      <c r="F46" s="53" t="s">
        <v>235</v>
      </c>
      <c r="G46" s="4">
        <v>632</v>
      </c>
      <c r="H46" s="4" t="s">
        <v>138</v>
      </c>
      <c r="I46" s="23">
        <f>7450+2600</f>
        <v>10050</v>
      </c>
      <c r="J46" s="23">
        <v>6224</v>
      </c>
      <c r="K46" s="198">
        <f t="shared" si="6"/>
        <v>61.930348258706466</v>
      </c>
      <c r="L46" s="23"/>
      <c r="M46" s="23"/>
      <c r="N46" s="214"/>
      <c r="O46" s="23">
        <f t="shared" si="2"/>
        <v>10050</v>
      </c>
      <c r="P46" s="23">
        <f t="shared" si="3"/>
        <v>6224</v>
      </c>
      <c r="Q46" s="203">
        <f t="shared" si="4"/>
        <v>61.930348258706466</v>
      </c>
    </row>
    <row r="47" spans="2:17" x14ac:dyDescent="0.2">
      <c r="B47" s="72">
        <f t="shared" si="7"/>
        <v>39</v>
      </c>
      <c r="C47" s="4"/>
      <c r="D47" s="4"/>
      <c r="E47" s="4"/>
      <c r="F47" s="53" t="s">
        <v>235</v>
      </c>
      <c r="G47" s="4">
        <v>633</v>
      </c>
      <c r="H47" s="4" t="s">
        <v>131</v>
      </c>
      <c r="I47" s="23">
        <f>600+500</f>
        <v>1100</v>
      </c>
      <c r="J47" s="23">
        <v>1099</v>
      </c>
      <c r="K47" s="198">
        <f t="shared" si="6"/>
        <v>99.909090909090921</v>
      </c>
      <c r="L47" s="23"/>
      <c r="M47" s="23"/>
      <c r="N47" s="214"/>
      <c r="O47" s="23">
        <f t="shared" si="2"/>
        <v>1100</v>
      </c>
      <c r="P47" s="23">
        <f t="shared" si="3"/>
        <v>1099</v>
      </c>
      <c r="Q47" s="203">
        <f t="shared" si="4"/>
        <v>99.909090909090921</v>
      </c>
    </row>
    <row r="48" spans="2:17" x14ac:dyDescent="0.2">
      <c r="B48" s="72">
        <f t="shared" si="7"/>
        <v>40</v>
      </c>
      <c r="C48" s="4"/>
      <c r="D48" s="4"/>
      <c r="E48" s="4"/>
      <c r="F48" s="53" t="s">
        <v>235</v>
      </c>
      <c r="G48" s="4">
        <v>635</v>
      </c>
      <c r="H48" s="4" t="s">
        <v>137</v>
      </c>
      <c r="I48" s="23">
        <f>1500+3500</f>
        <v>5000</v>
      </c>
      <c r="J48" s="23">
        <v>4950</v>
      </c>
      <c r="K48" s="198">
        <f t="shared" si="6"/>
        <v>99</v>
      </c>
      <c r="L48" s="23"/>
      <c r="M48" s="23"/>
      <c r="N48" s="214"/>
      <c r="O48" s="23">
        <f t="shared" si="2"/>
        <v>5000</v>
      </c>
      <c r="P48" s="23">
        <f t="shared" si="3"/>
        <v>4950</v>
      </c>
      <c r="Q48" s="203">
        <f t="shared" si="4"/>
        <v>99</v>
      </c>
    </row>
    <row r="49" spans="2:17" x14ac:dyDescent="0.2">
      <c r="B49" s="72">
        <f t="shared" si="7"/>
        <v>41</v>
      </c>
      <c r="C49" s="4"/>
      <c r="D49" s="4"/>
      <c r="E49" s="4"/>
      <c r="F49" s="53" t="s">
        <v>235</v>
      </c>
      <c r="G49" s="4">
        <v>637</v>
      </c>
      <c r="H49" s="4" t="s">
        <v>128</v>
      </c>
      <c r="I49" s="23">
        <f>2500+3000</f>
        <v>5500</v>
      </c>
      <c r="J49" s="23">
        <v>4720</v>
      </c>
      <c r="K49" s="198">
        <f t="shared" si="6"/>
        <v>85.818181818181813</v>
      </c>
      <c r="L49" s="23"/>
      <c r="M49" s="23"/>
      <c r="N49" s="214"/>
      <c r="O49" s="23">
        <f t="shared" si="2"/>
        <v>5500</v>
      </c>
      <c r="P49" s="23">
        <f t="shared" si="3"/>
        <v>4720</v>
      </c>
      <c r="Q49" s="203">
        <f t="shared" si="4"/>
        <v>85.818181818181813</v>
      </c>
    </row>
    <row r="50" spans="2:17" x14ac:dyDescent="0.2">
      <c r="B50" s="72">
        <f t="shared" si="7"/>
        <v>42</v>
      </c>
      <c r="C50" s="4"/>
      <c r="D50" s="55"/>
      <c r="E50" s="159"/>
      <c r="F50" s="52" t="s">
        <v>235</v>
      </c>
      <c r="G50" s="12">
        <v>640</v>
      </c>
      <c r="H50" s="12" t="s">
        <v>134</v>
      </c>
      <c r="I50" s="49">
        <f>20+40</f>
        <v>60</v>
      </c>
      <c r="J50" s="49">
        <v>37</v>
      </c>
      <c r="K50" s="198">
        <f t="shared" si="6"/>
        <v>61.666666666666671</v>
      </c>
      <c r="L50" s="49"/>
      <c r="M50" s="49"/>
      <c r="N50" s="214"/>
      <c r="O50" s="49">
        <f t="shared" si="2"/>
        <v>60</v>
      </c>
      <c r="P50" s="49">
        <f t="shared" si="3"/>
        <v>37</v>
      </c>
      <c r="Q50" s="203">
        <f t="shared" si="4"/>
        <v>61.666666666666671</v>
      </c>
    </row>
    <row r="51" spans="2:17" ht="15" x14ac:dyDescent="0.2">
      <c r="B51" s="72">
        <f t="shared" si="7"/>
        <v>43</v>
      </c>
      <c r="C51" s="179">
        <v>5</v>
      </c>
      <c r="D51" s="257" t="s">
        <v>186</v>
      </c>
      <c r="E51" s="253"/>
      <c r="F51" s="253"/>
      <c r="G51" s="253"/>
      <c r="H51" s="254"/>
      <c r="I51" s="45">
        <f>I86+I70+I52</f>
        <v>517775</v>
      </c>
      <c r="J51" s="45">
        <f>J86+J70+J52</f>
        <v>506420</v>
      </c>
      <c r="K51" s="198">
        <f t="shared" si="6"/>
        <v>97.806962483704311</v>
      </c>
      <c r="L51" s="45">
        <f>L86+L70+L52</f>
        <v>10700</v>
      </c>
      <c r="M51" s="45">
        <f>M86+M70+M52</f>
        <v>8426</v>
      </c>
      <c r="N51" s="216">
        <f t="shared" ref="N51" si="8">M51/L51*100</f>
        <v>78.747663551401871</v>
      </c>
      <c r="O51" s="45">
        <f t="shared" si="2"/>
        <v>528475</v>
      </c>
      <c r="P51" s="45">
        <f t="shared" si="3"/>
        <v>514846</v>
      </c>
      <c r="Q51" s="203">
        <f t="shared" si="4"/>
        <v>97.421070060078534</v>
      </c>
    </row>
    <row r="52" spans="2:17" ht="15" x14ac:dyDescent="0.25">
      <c r="B52" s="72">
        <f t="shared" si="7"/>
        <v>44</v>
      </c>
      <c r="C52" s="178"/>
      <c r="D52" s="178">
        <v>1</v>
      </c>
      <c r="E52" s="252" t="s">
        <v>185</v>
      </c>
      <c r="F52" s="253"/>
      <c r="G52" s="253"/>
      <c r="H52" s="254"/>
      <c r="I52" s="46">
        <f>I53+I58</f>
        <v>8180</v>
      </c>
      <c r="J52" s="46">
        <f>J53+J58</f>
        <v>7741</v>
      </c>
      <c r="K52" s="198">
        <f t="shared" si="6"/>
        <v>94.633251833740829</v>
      </c>
      <c r="L52" s="46">
        <f>L53+L58</f>
        <v>0</v>
      </c>
      <c r="M52" s="46">
        <f>M53+M58</f>
        <v>0</v>
      </c>
      <c r="N52" s="216"/>
      <c r="O52" s="46">
        <f t="shared" si="2"/>
        <v>8180</v>
      </c>
      <c r="P52" s="46">
        <f t="shared" si="3"/>
        <v>7741</v>
      </c>
      <c r="Q52" s="203">
        <f t="shared" si="4"/>
        <v>94.633251833740829</v>
      </c>
    </row>
    <row r="53" spans="2:17" x14ac:dyDescent="0.2">
      <c r="B53" s="72">
        <f t="shared" si="7"/>
        <v>45</v>
      </c>
      <c r="C53" s="12"/>
      <c r="D53" s="12"/>
      <c r="E53" s="12"/>
      <c r="F53" s="52" t="s">
        <v>74</v>
      </c>
      <c r="G53" s="12">
        <v>640</v>
      </c>
      <c r="H53" s="12" t="s">
        <v>134</v>
      </c>
      <c r="I53" s="49">
        <f>SUM(I54:I56)</f>
        <v>2100</v>
      </c>
      <c r="J53" s="49">
        <f>SUM(J54:J56)</f>
        <v>2100</v>
      </c>
      <c r="K53" s="198">
        <f t="shared" si="6"/>
        <v>100</v>
      </c>
      <c r="L53" s="49">
        <f>SUM(L54:L56)</f>
        <v>0</v>
      </c>
      <c r="M53" s="49">
        <f>SUM(M54:M56)</f>
        <v>0</v>
      </c>
      <c r="N53" s="214"/>
      <c r="O53" s="49">
        <f t="shared" si="2"/>
        <v>2100</v>
      </c>
      <c r="P53" s="49">
        <f t="shared" si="3"/>
        <v>2100</v>
      </c>
      <c r="Q53" s="203">
        <f t="shared" si="4"/>
        <v>100</v>
      </c>
    </row>
    <row r="54" spans="2:17" x14ac:dyDescent="0.2">
      <c r="B54" s="72">
        <f t="shared" si="7"/>
        <v>46</v>
      </c>
      <c r="C54" s="12"/>
      <c r="D54" s="12"/>
      <c r="E54" s="12"/>
      <c r="F54" s="52"/>
      <c r="G54" s="12"/>
      <c r="H54" s="94" t="s">
        <v>19</v>
      </c>
      <c r="I54" s="58">
        <v>370</v>
      </c>
      <c r="J54" s="58">
        <v>370</v>
      </c>
      <c r="K54" s="198">
        <f t="shared" si="6"/>
        <v>100</v>
      </c>
      <c r="L54" s="49"/>
      <c r="M54" s="49"/>
      <c r="N54" s="214"/>
      <c r="O54" s="58">
        <f t="shared" si="2"/>
        <v>370</v>
      </c>
      <c r="P54" s="58">
        <f t="shared" si="3"/>
        <v>370</v>
      </c>
      <c r="Q54" s="203">
        <f t="shared" si="4"/>
        <v>100</v>
      </c>
    </row>
    <row r="55" spans="2:17" x14ac:dyDescent="0.2">
      <c r="B55" s="72">
        <f t="shared" si="7"/>
        <v>47</v>
      </c>
      <c r="C55" s="12"/>
      <c r="D55" s="12"/>
      <c r="E55" s="12"/>
      <c r="F55" s="52"/>
      <c r="G55" s="12"/>
      <c r="H55" s="94" t="s">
        <v>20</v>
      </c>
      <c r="I55" s="58">
        <v>1500</v>
      </c>
      <c r="J55" s="58">
        <v>1500</v>
      </c>
      <c r="K55" s="198">
        <f t="shared" si="6"/>
        <v>100</v>
      </c>
      <c r="L55" s="49"/>
      <c r="M55" s="49"/>
      <c r="N55" s="214"/>
      <c r="O55" s="58">
        <f t="shared" si="2"/>
        <v>1500</v>
      </c>
      <c r="P55" s="58">
        <f t="shared" si="3"/>
        <v>1500</v>
      </c>
      <c r="Q55" s="203">
        <f t="shared" si="4"/>
        <v>100</v>
      </c>
    </row>
    <row r="56" spans="2:17" x14ac:dyDescent="0.2">
      <c r="B56" s="72">
        <f t="shared" si="7"/>
        <v>48</v>
      </c>
      <c r="C56" s="12"/>
      <c r="D56" s="12"/>
      <c r="E56" s="12"/>
      <c r="F56" s="52"/>
      <c r="G56" s="12"/>
      <c r="H56" s="94" t="s">
        <v>410</v>
      </c>
      <c r="I56" s="58">
        <v>230</v>
      </c>
      <c r="J56" s="58">
        <v>230</v>
      </c>
      <c r="K56" s="198">
        <f t="shared" si="6"/>
        <v>100</v>
      </c>
      <c r="L56" s="49"/>
      <c r="M56" s="49"/>
      <c r="N56" s="214"/>
      <c r="O56" s="58">
        <f t="shared" si="2"/>
        <v>230</v>
      </c>
      <c r="P56" s="58">
        <f t="shared" si="3"/>
        <v>230</v>
      </c>
      <c r="Q56" s="203">
        <f t="shared" si="4"/>
        <v>100</v>
      </c>
    </row>
    <row r="57" spans="2:17" x14ac:dyDescent="0.2">
      <c r="B57" s="72">
        <f t="shared" si="7"/>
        <v>49</v>
      </c>
      <c r="C57" s="12"/>
      <c r="D57" s="12"/>
      <c r="E57" s="12"/>
      <c r="F57" s="52"/>
      <c r="G57" s="12"/>
      <c r="H57" s="12"/>
      <c r="I57" s="49"/>
      <c r="J57" s="49"/>
      <c r="K57" s="198"/>
      <c r="L57" s="49"/>
      <c r="M57" s="49"/>
      <c r="N57" s="214"/>
      <c r="O57" s="49"/>
      <c r="P57" s="49"/>
      <c r="Q57" s="203"/>
    </row>
    <row r="58" spans="2:17" x14ac:dyDescent="0.2">
      <c r="B58" s="72">
        <f t="shared" si="7"/>
        <v>50</v>
      </c>
      <c r="C58" s="12"/>
      <c r="D58" s="12"/>
      <c r="E58" s="12"/>
      <c r="F58" s="52" t="s">
        <v>77</v>
      </c>
      <c r="G58" s="12">
        <v>630</v>
      </c>
      <c r="H58" s="12" t="s">
        <v>127</v>
      </c>
      <c r="I58" s="49">
        <f>I61+I60+I59+I62+I63+I64+I65+I66+I67+I68+I69</f>
        <v>6080</v>
      </c>
      <c r="J58" s="49">
        <f>J61+J60+J59+J62+J63+J64+J65+J66+J67+J68+J69</f>
        <v>5641</v>
      </c>
      <c r="K58" s="198">
        <f t="shared" ref="K58:K81" si="9">J58/I58*100</f>
        <v>92.77960526315789</v>
      </c>
      <c r="L58" s="49">
        <v>0</v>
      </c>
      <c r="M58" s="49"/>
      <c r="N58" s="214"/>
      <c r="O58" s="49">
        <f t="shared" ref="O58:O89" si="10">I58+L58</f>
        <v>6080</v>
      </c>
      <c r="P58" s="49">
        <f t="shared" ref="P58:P89" si="11">J58+M58</f>
        <v>5641</v>
      </c>
      <c r="Q58" s="203">
        <f t="shared" ref="Q58:Q89" si="12">P58/O58*100</f>
        <v>92.77960526315789</v>
      </c>
    </row>
    <row r="59" spans="2:17" x14ac:dyDescent="0.2">
      <c r="B59" s="72">
        <f t="shared" si="7"/>
        <v>51</v>
      </c>
      <c r="C59" s="4"/>
      <c r="D59" s="4"/>
      <c r="E59" s="4"/>
      <c r="F59" s="53" t="s">
        <v>77</v>
      </c>
      <c r="G59" s="4">
        <v>633</v>
      </c>
      <c r="H59" s="4" t="s">
        <v>131</v>
      </c>
      <c r="I59" s="23">
        <f>5630-5080</f>
        <v>550</v>
      </c>
      <c r="J59" s="23">
        <v>287</v>
      </c>
      <c r="K59" s="198">
        <f t="shared" si="9"/>
        <v>52.181818181818187</v>
      </c>
      <c r="L59" s="23"/>
      <c r="M59" s="23"/>
      <c r="N59" s="214"/>
      <c r="O59" s="23">
        <f t="shared" si="10"/>
        <v>550</v>
      </c>
      <c r="P59" s="23">
        <f t="shared" si="11"/>
        <v>287</v>
      </c>
      <c r="Q59" s="203">
        <f t="shared" si="12"/>
        <v>52.181818181818187</v>
      </c>
    </row>
    <row r="60" spans="2:17" x14ac:dyDescent="0.2">
      <c r="B60" s="72">
        <f t="shared" si="7"/>
        <v>52</v>
      </c>
      <c r="C60" s="4"/>
      <c r="D60" s="4"/>
      <c r="E60" s="4"/>
      <c r="F60" s="53" t="s">
        <v>77</v>
      </c>
      <c r="G60" s="4">
        <v>634</v>
      </c>
      <c r="H60" s="4" t="s">
        <v>136</v>
      </c>
      <c r="I60" s="23">
        <v>350</v>
      </c>
      <c r="J60" s="23">
        <v>210</v>
      </c>
      <c r="K60" s="198">
        <f t="shared" si="9"/>
        <v>60</v>
      </c>
      <c r="L60" s="23"/>
      <c r="M60" s="23"/>
      <c r="N60" s="214"/>
      <c r="O60" s="23">
        <f t="shared" si="10"/>
        <v>350</v>
      </c>
      <c r="P60" s="23">
        <f t="shared" si="11"/>
        <v>210</v>
      </c>
      <c r="Q60" s="203">
        <f t="shared" si="12"/>
        <v>60</v>
      </c>
    </row>
    <row r="61" spans="2:17" x14ac:dyDescent="0.2">
      <c r="B61" s="72">
        <f t="shared" si="7"/>
        <v>53</v>
      </c>
      <c r="C61" s="4"/>
      <c r="D61" s="4"/>
      <c r="E61" s="4"/>
      <c r="F61" s="53" t="s">
        <v>77</v>
      </c>
      <c r="G61" s="4">
        <v>637</v>
      </c>
      <c r="H61" s="4" t="s">
        <v>128</v>
      </c>
      <c r="I61" s="23">
        <v>100</v>
      </c>
      <c r="J61" s="23">
        <v>64</v>
      </c>
      <c r="K61" s="198">
        <f t="shared" si="9"/>
        <v>64</v>
      </c>
      <c r="L61" s="23"/>
      <c r="M61" s="23"/>
      <c r="N61" s="214"/>
      <c r="O61" s="23">
        <f t="shared" si="10"/>
        <v>100</v>
      </c>
      <c r="P61" s="23">
        <f t="shared" si="11"/>
        <v>64</v>
      </c>
      <c r="Q61" s="203">
        <f t="shared" si="12"/>
        <v>64</v>
      </c>
    </row>
    <row r="62" spans="2:17" x14ac:dyDescent="0.2">
      <c r="B62" s="72">
        <f t="shared" si="7"/>
        <v>54</v>
      </c>
      <c r="C62" s="4"/>
      <c r="D62" s="4"/>
      <c r="E62" s="4"/>
      <c r="F62" s="53" t="s">
        <v>77</v>
      </c>
      <c r="G62" s="4">
        <v>630</v>
      </c>
      <c r="H62" s="4" t="s">
        <v>609</v>
      </c>
      <c r="I62" s="23">
        <v>511</v>
      </c>
      <c r="J62" s="23">
        <f>71+440</f>
        <v>511</v>
      </c>
      <c r="K62" s="198">
        <f t="shared" si="9"/>
        <v>100</v>
      </c>
      <c r="L62" s="23"/>
      <c r="M62" s="23"/>
      <c r="N62" s="214"/>
      <c r="O62" s="23">
        <f t="shared" si="10"/>
        <v>511</v>
      </c>
      <c r="P62" s="23">
        <f t="shared" si="11"/>
        <v>511</v>
      </c>
      <c r="Q62" s="203">
        <f t="shared" si="12"/>
        <v>100</v>
      </c>
    </row>
    <row r="63" spans="2:17" x14ac:dyDescent="0.2">
      <c r="B63" s="72">
        <f t="shared" si="7"/>
        <v>55</v>
      </c>
      <c r="C63" s="4"/>
      <c r="D63" s="4"/>
      <c r="E63" s="4"/>
      <c r="F63" s="53" t="s">
        <v>77</v>
      </c>
      <c r="G63" s="4">
        <v>630</v>
      </c>
      <c r="H63" s="4" t="s">
        <v>610</v>
      </c>
      <c r="I63" s="23">
        <v>755</v>
      </c>
      <c r="J63" s="23">
        <f>38+45+264+408</f>
        <v>755</v>
      </c>
      <c r="K63" s="198">
        <f t="shared" si="9"/>
        <v>100</v>
      </c>
      <c r="L63" s="23"/>
      <c r="M63" s="23"/>
      <c r="N63" s="214"/>
      <c r="O63" s="23">
        <f t="shared" si="10"/>
        <v>755</v>
      </c>
      <c r="P63" s="23">
        <f t="shared" si="11"/>
        <v>755</v>
      </c>
      <c r="Q63" s="203">
        <f t="shared" si="12"/>
        <v>100</v>
      </c>
    </row>
    <row r="64" spans="2:17" x14ac:dyDescent="0.2">
      <c r="B64" s="72">
        <f t="shared" si="7"/>
        <v>56</v>
      </c>
      <c r="C64" s="4"/>
      <c r="D64" s="4"/>
      <c r="E64" s="4"/>
      <c r="F64" s="53" t="s">
        <v>77</v>
      </c>
      <c r="G64" s="4">
        <v>630</v>
      </c>
      <c r="H64" s="4" t="s">
        <v>611</v>
      </c>
      <c r="I64" s="23">
        <v>472</v>
      </c>
      <c r="J64" s="23">
        <f>57+415</f>
        <v>472</v>
      </c>
      <c r="K64" s="198">
        <f t="shared" si="9"/>
        <v>100</v>
      </c>
      <c r="L64" s="23"/>
      <c r="M64" s="23"/>
      <c r="N64" s="214"/>
      <c r="O64" s="23">
        <f t="shared" si="10"/>
        <v>472</v>
      </c>
      <c r="P64" s="23">
        <f t="shared" si="11"/>
        <v>472</v>
      </c>
      <c r="Q64" s="203">
        <f t="shared" si="12"/>
        <v>100</v>
      </c>
    </row>
    <row r="65" spans="2:17" x14ac:dyDescent="0.2">
      <c r="B65" s="72">
        <f t="shared" si="7"/>
        <v>57</v>
      </c>
      <c r="C65" s="4"/>
      <c r="D65" s="4"/>
      <c r="E65" s="4"/>
      <c r="F65" s="53" t="s">
        <v>77</v>
      </c>
      <c r="G65" s="4">
        <v>630</v>
      </c>
      <c r="H65" s="4" t="s">
        <v>612</v>
      </c>
      <c r="I65" s="23">
        <v>535</v>
      </c>
      <c r="J65" s="23">
        <f>255+280</f>
        <v>535</v>
      </c>
      <c r="K65" s="198">
        <f t="shared" si="9"/>
        <v>100</v>
      </c>
      <c r="L65" s="23"/>
      <c r="M65" s="23"/>
      <c r="N65" s="214"/>
      <c r="O65" s="23">
        <f t="shared" si="10"/>
        <v>535</v>
      </c>
      <c r="P65" s="23">
        <f t="shared" si="11"/>
        <v>535</v>
      </c>
      <c r="Q65" s="203">
        <f t="shared" si="12"/>
        <v>100</v>
      </c>
    </row>
    <row r="66" spans="2:17" x14ac:dyDescent="0.2">
      <c r="B66" s="72">
        <f t="shared" si="7"/>
        <v>58</v>
      </c>
      <c r="C66" s="4"/>
      <c r="D66" s="4"/>
      <c r="E66" s="4"/>
      <c r="F66" s="53" t="s">
        <v>77</v>
      </c>
      <c r="G66" s="4">
        <v>630</v>
      </c>
      <c r="H66" s="4" t="s">
        <v>613</v>
      </c>
      <c r="I66" s="23">
        <v>952</v>
      </c>
      <c r="J66" s="23">
        <f>76+346+120+410</f>
        <v>952</v>
      </c>
      <c r="K66" s="198">
        <f t="shared" si="9"/>
        <v>100</v>
      </c>
      <c r="L66" s="23"/>
      <c r="M66" s="23"/>
      <c r="N66" s="214"/>
      <c r="O66" s="23">
        <f t="shared" si="10"/>
        <v>952</v>
      </c>
      <c r="P66" s="23">
        <f t="shared" si="11"/>
        <v>952</v>
      </c>
      <c r="Q66" s="203">
        <f t="shared" si="12"/>
        <v>100</v>
      </c>
    </row>
    <row r="67" spans="2:17" x14ac:dyDescent="0.2">
      <c r="B67" s="72">
        <f t="shared" si="7"/>
        <v>59</v>
      </c>
      <c r="C67" s="4"/>
      <c r="D67" s="4"/>
      <c r="E67" s="4"/>
      <c r="F67" s="53" t="s">
        <v>77</v>
      </c>
      <c r="G67" s="4">
        <v>630</v>
      </c>
      <c r="H67" s="4" t="s">
        <v>614</v>
      </c>
      <c r="I67" s="23">
        <v>527</v>
      </c>
      <c r="J67" s="23">
        <f>103+252+172</f>
        <v>527</v>
      </c>
      <c r="K67" s="198">
        <f t="shared" si="9"/>
        <v>100</v>
      </c>
      <c r="L67" s="23"/>
      <c r="M67" s="23"/>
      <c r="N67" s="214"/>
      <c r="O67" s="23">
        <f t="shared" si="10"/>
        <v>527</v>
      </c>
      <c r="P67" s="23">
        <f t="shared" si="11"/>
        <v>527</v>
      </c>
      <c r="Q67" s="203">
        <f t="shared" si="12"/>
        <v>100</v>
      </c>
    </row>
    <row r="68" spans="2:17" x14ac:dyDescent="0.2">
      <c r="B68" s="72">
        <f t="shared" si="7"/>
        <v>60</v>
      </c>
      <c r="C68" s="4"/>
      <c r="D68" s="4"/>
      <c r="E68" s="4"/>
      <c r="F68" s="53" t="s">
        <v>77</v>
      </c>
      <c r="G68" s="4">
        <v>630</v>
      </c>
      <c r="H68" s="4" t="s">
        <v>615</v>
      </c>
      <c r="I68" s="23">
        <v>778</v>
      </c>
      <c r="J68" s="23">
        <f>86+354+220+118</f>
        <v>778</v>
      </c>
      <c r="K68" s="198">
        <f t="shared" si="9"/>
        <v>100</v>
      </c>
      <c r="L68" s="23"/>
      <c r="M68" s="23"/>
      <c r="N68" s="214"/>
      <c r="O68" s="23">
        <f t="shared" si="10"/>
        <v>778</v>
      </c>
      <c r="P68" s="23">
        <f t="shared" si="11"/>
        <v>778</v>
      </c>
      <c r="Q68" s="203">
        <f t="shared" si="12"/>
        <v>100</v>
      </c>
    </row>
    <row r="69" spans="2:17" x14ac:dyDescent="0.2">
      <c r="B69" s="72">
        <f t="shared" si="7"/>
        <v>61</v>
      </c>
      <c r="C69" s="4"/>
      <c r="D69" s="4"/>
      <c r="E69" s="4"/>
      <c r="F69" s="53" t="s">
        <v>77</v>
      </c>
      <c r="G69" s="4">
        <v>630</v>
      </c>
      <c r="H69" s="4" t="s">
        <v>616</v>
      </c>
      <c r="I69" s="23">
        <v>550</v>
      </c>
      <c r="J69" s="23">
        <f>280+270</f>
        <v>550</v>
      </c>
      <c r="K69" s="198">
        <f t="shared" si="9"/>
        <v>100</v>
      </c>
      <c r="L69" s="23"/>
      <c r="M69" s="23"/>
      <c r="N69" s="214"/>
      <c r="O69" s="23">
        <f t="shared" si="10"/>
        <v>550</v>
      </c>
      <c r="P69" s="23">
        <f t="shared" si="11"/>
        <v>550</v>
      </c>
      <c r="Q69" s="203">
        <f t="shared" si="12"/>
        <v>100</v>
      </c>
    </row>
    <row r="70" spans="2:17" ht="15" x14ac:dyDescent="0.25">
      <c r="B70" s="72">
        <f t="shared" si="7"/>
        <v>62</v>
      </c>
      <c r="C70" s="178"/>
      <c r="D70" s="178">
        <v>2</v>
      </c>
      <c r="E70" s="252" t="s">
        <v>246</v>
      </c>
      <c r="F70" s="253"/>
      <c r="G70" s="253"/>
      <c r="H70" s="254"/>
      <c r="I70" s="46">
        <f>I71</f>
        <v>488870</v>
      </c>
      <c r="J70" s="46">
        <f>J71</f>
        <v>481522</v>
      </c>
      <c r="K70" s="198">
        <f t="shared" si="9"/>
        <v>98.496941927301734</v>
      </c>
      <c r="L70" s="46">
        <f>L71</f>
        <v>10700</v>
      </c>
      <c r="M70" s="46">
        <f>M71</f>
        <v>8426</v>
      </c>
      <c r="N70" s="216">
        <f t="shared" ref="N70:N85" si="13">M70/L70*100</f>
        <v>78.747663551401871</v>
      </c>
      <c r="O70" s="46">
        <f t="shared" si="10"/>
        <v>499570</v>
      </c>
      <c r="P70" s="46">
        <f t="shared" si="11"/>
        <v>489948</v>
      </c>
      <c r="Q70" s="203">
        <f t="shared" si="12"/>
        <v>98.073943591488671</v>
      </c>
    </row>
    <row r="71" spans="2:17" ht="15" x14ac:dyDescent="0.25">
      <c r="B71" s="72">
        <f t="shared" si="7"/>
        <v>63</v>
      </c>
      <c r="C71" s="15"/>
      <c r="D71" s="15"/>
      <c r="E71" s="15">
        <v>5</v>
      </c>
      <c r="F71" s="50"/>
      <c r="G71" s="15"/>
      <c r="H71" s="15" t="s">
        <v>265</v>
      </c>
      <c r="I71" s="47">
        <f>I72+I73+I74+I81</f>
        <v>488870</v>
      </c>
      <c r="J71" s="47">
        <f>J72+J73+J74+J81</f>
        <v>481522</v>
      </c>
      <c r="K71" s="198">
        <f t="shared" si="9"/>
        <v>98.496941927301734</v>
      </c>
      <c r="L71" s="47">
        <f>L82</f>
        <v>10700</v>
      </c>
      <c r="M71" s="47">
        <f>M82</f>
        <v>8426</v>
      </c>
      <c r="N71" s="214">
        <f t="shared" si="13"/>
        <v>78.747663551401871</v>
      </c>
      <c r="O71" s="47">
        <f t="shared" si="10"/>
        <v>499570</v>
      </c>
      <c r="P71" s="47">
        <f t="shared" si="11"/>
        <v>489948</v>
      </c>
      <c r="Q71" s="203">
        <f t="shared" si="12"/>
        <v>98.073943591488671</v>
      </c>
    </row>
    <row r="72" spans="2:17" x14ac:dyDescent="0.2">
      <c r="B72" s="72">
        <f t="shared" si="7"/>
        <v>64</v>
      </c>
      <c r="C72" s="12"/>
      <c r="D72" s="12"/>
      <c r="E72" s="12"/>
      <c r="F72" s="52" t="s">
        <v>77</v>
      </c>
      <c r="G72" s="12">
        <v>610</v>
      </c>
      <c r="H72" s="12" t="s">
        <v>135</v>
      </c>
      <c r="I72" s="49">
        <f>213727-2-1000</f>
        <v>212725</v>
      </c>
      <c r="J72" s="49">
        <v>212718</v>
      </c>
      <c r="K72" s="198">
        <f t="shared" si="9"/>
        <v>99.996709366553063</v>
      </c>
      <c r="L72" s="49"/>
      <c r="M72" s="49"/>
      <c r="N72" s="214"/>
      <c r="O72" s="49">
        <f t="shared" si="10"/>
        <v>212725</v>
      </c>
      <c r="P72" s="49">
        <f t="shared" si="11"/>
        <v>212718</v>
      </c>
      <c r="Q72" s="203">
        <f t="shared" si="12"/>
        <v>99.996709366553063</v>
      </c>
    </row>
    <row r="73" spans="2:17" x14ac:dyDescent="0.2">
      <c r="B73" s="72">
        <f t="shared" ref="B73:B104" si="14">B72+1</f>
        <v>65</v>
      </c>
      <c r="C73" s="12"/>
      <c r="D73" s="12"/>
      <c r="E73" s="12"/>
      <c r="F73" s="52" t="s">
        <v>77</v>
      </c>
      <c r="G73" s="12">
        <v>620</v>
      </c>
      <c r="H73" s="12" t="s">
        <v>130</v>
      </c>
      <c r="I73" s="49">
        <v>74800</v>
      </c>
      <c r="J73" s="49">
        <v>74670</v>
      </c>
      <c r="K73" s="198">
        <f t="shared" si="9"/>
        <v>99.826203208556151</v>
      </c>
      <c r="L73" s="49"/>
      <c r="M73" s="49"/>
      <c r="N73" s="214"/>
      <c r="O73" s="49">
        <f t="shared" si="10"/>
        <v>74800</v>
      </c>
      <c r="P73" s="49">
        <f t="shared" si="11"/>
        <v>74670</v>
      </c>
      <c r="Q73" s="203">
        <f t="shared" si="12"/>
        <v>99.826203208556151</v>
      </c>
    </row>
    <row r="74" spans="2:17" x14ac:dyDescent="0.2">
      <c r="B74" s="72">
        <f t="shared" si="14"/>
        <v>66</v>
      </c>
      <c r="C74" s="12"/>
      <c r="D74" s="12"/>
      <c r="E74" s="12"/>
      <c r="F74" s="52" t="s">
        <v>77</v>
      </c>
      <c r="G74" s="12">
        <v>630</v>
      </c>
      <c r="H74" s="12" t="s">
        <v>127</v>
      </c>
      <c r="I74" s="49">
        <f>I80+I79+I78+I77+I76+I75</f>
        <v>200295</v>
      </c>
      <c r="J74" s="49">
        <f>J80+J79+J78+J77+J76+J75</f>
        <v>193087</v>
      </c>
      <c r="K74" s="198">
        <f t="shared" si="9"/>
        <v>96.401308070595874</v>
      </c>
      <c r="L74" s="49">
        <f>L80+L79+L78+L77+L76+L75</f>
        <v>0</v>
      </c>
      <c r="M74" s="49">
        <f>M80+M79+M78+M77+M76+M75</f>
        <v>0</v>
      </c>
      <c r="N74" s="214"/>
      <c r="O74" s="49">
        <f t="shared" si="10"/>
        <v>200295</v>
      </c>
      <c r="P74" s="49">
        <f t="shared" si="11"/>
        <v>193087</v>
      </c>
      <c r="Q74" s="203">
        <f t="shared" si="12"/>
        <v>96.401308070595874</v>
      </c>
    </row>
    <row r="75" spans="2:17" x14ac:dyDescent="0.2">
      <c r="B75" s="72">
        <f t="shared" si="14"/>
        <v>67</v>
      </c>
      <c r="C75" s="4"/>
      <c r="D75" s="4"/>
      <c r="E75" s="4"/>
      <c r="F75" s="53" t="s">
        <v>77</v>
      </c>
      <c r="G75" s="4">
        <v>631</v>
      </c>
      <c r="H75" s="4" t="s">
        <v>133</v>
      </c>
      <c r="I75" s="23">
        <v>200</v>
      </c>
      <c r="J75" s="23">
        <v>54</v>
      </c>
      <c r="K75" s="198">
        <f t="shared" si="9"/>
        <v>27</v>
      </c>
      <c r="L75" s="23"/>
      <c r="M75" s="23"/>
      <c r="N75" s="214"/>
      <c r="O75" s="23">
        <f t="shared" si="10"/>
        <v>200</v>
      </c>
      <c r="P75" s="23">
        <f t="shared" si="11"/>
        <v>54</v>
      </c>
      <c r="Q75" s="203">
        <f t="shared" si="12"/>
        <v>27</v>
      </c>
    </row>
    <row r="76" spans="2:17" x14ac:dyDescent="0.2">
      <c r="B76" s="72">
        <f t="shared" si="14"/>
        <v>68</v>
      </c>
      <c r="C76" s="4"/>
      <c r="D76" s="4"/>
      <c r="E76" s="4"/>
      <c r="F76" s="53" t="s">
        <v>77</v>
      </c>
      <c r="G76" s="4">
        <v>632</v>
      </c>
      <c r="H76" s="4" t="s">
        <v>138</v>
      </c>
      <c r="I76" s="23">
        <f>14750+41000</f>
        <v>55750</v>
      </c>
      <c r="J76" s="23">
        <v>51855</v>
      </c>
      <c r="K76" s="198">
        <f t="shared" si="9"/>
        <v>93.013452914798208</v>
      </c>
      <c r="L76" s="23"/>
      <c r="M76" s="23"/>
      <c r="N76" s="214"/>
      <c r="O76" s="23">
        <f t="shared" si="10"/>
        <v>55750</v>
      </c>
      <c r="P76" s="23">
        <f t="shared" si="11"/>
        <v>51855</v>
      </c>
      <c r="Q76" s="203">
        <f t="shared" si="12"/>
        <v>93.013452914798208</v>
      </c>
    </row>
    <row r="77" spans="2:17" x14ac:dyDescent="0.2">
      <c r="B77" s="72">
        <f t="shared" si="14"/>
        <v>69</v>
      </c>
      <c r="C77" s="4"/>
      <c r="D77" s="4"/>
      <c r="E77" s="4"/>
      <c r="F77" s="53" t="s">
        <v>77</v>
      </c>
      <c r="G77" s="4">
        <v>633</v>
      </c>
      <c r="H77" s="4" t="s">
        <v>131</v>
      </c>
      <c r="I77" s="23">
        <f>18960+2000+5000</f>
        <v>25960</v>
      </c>
      <c r="J77" s="23">
        <v>25909</v>
      </c>
      <c r="K77" s="198">
        <f t="shared" si="9"/>
        <v>99.803543913713412</v>
      </c>
      <c r="L77" s="23"/>
      <c r="M77" s="23"/>
      <c r="N77" s="214"/>
      <c r="O77" s="23">
        <f t="shared" si="10"/>
        <v>25960</v>
      </c>
      <c r="P77" s="23">
        <f t="shared" si="11"/>
        <v>25909</v>
      </c>
      <c r="Q77" s="203">
        <f t="shared" si="12"/>
        <v>99.803543913713412</v>
      </c>
    </row>
    <row r="78" spans="2:17" x14ac:dyDescent="0.2">
      <c r="B78" s="72">
        <f t="shared" si="14"/>
        <v>70</v>
      </c>
      <c r="C78" s="4"/>
      <c r="D78" s="4"/>
      <c r="E78" s="4"/>
      <c r="F78" s="53" t="s">
        <v>77</v>
      </c>
      <c r="G78" s="4">
        <v>634</v>
      </c>
      <c r="H78" s="4" t="s">
        <v>136</v>
      </c>
      <c r="I78" s="23">
        <f>2350-1110</f>
        <v>1240</v>
      </c>
      <c r="J78" s="23">
        <v>971</v>
      </c>
      <c r="K78" s="198">
        <f t="shared" si="9"/>
        <v>78.306451612903231</v>
      </c>
      <c r="L78" s="23"/>
      <c r="M78" s="23"/>
      <c r="N78" s="214"/>
      <c r="O78" s="23">
        <f t="shared" si="10"/>
        <v>1240</v>
      </c>
      <c r="P78" s="23">
        <f t="shared" si="11"/>
        <v>971</v>
      </c>
      <c r="Q78" s="203">
        <f t="shared" si="12"/>
        <v>78.306451612903231</v>
      </c>
    </row>
    <row r="79" spans="2:17" x14ac:dyDescent="0.2">
      <c r="B79" s="72">
        <f t="shared" si="14"/>
        <v>71</v>
      </c>
      <c r="C79" s="4"/>
      <c r="D79" s="4"/>
      <c r="E79" s="4"/>
      <c r="F79" s="53" t="s">
        <v>77</v>
      </c>
      <c r="G79" s="4">
        <v>635</v>
      </c>
      <c r="H79" s="4" t="s">
        <v>137</v>
      </c>
      <c r="I79" s="23">
        <f>36900-5000</f>
        <v>31900</v>
      </c>
      <c r="J79" s="23">
        <v>31893</v>
      </c>
      <c r="K79" s="198">
        <f t="shared" si="9"/>
        <v>99.978056426332287</v>
      </c>
      <c r="L79" s="23"/>
      <c r="M79" s="23"/>
      <c r="N79" s="214"/>
      <c r="O79" s="23">
        <f t="shared" si="10"/>
        <v>31900</v>
      </c>
      <c r="P79" s="23">
        <f t="shared" si="11"/>
        <v>31893</v>
      </c>
      <c r="Q79" s="203">
        <f t="shared" si="12"/>
        <v>99.978056426332287</v>
      </c>
    </row>
    <row r="80" spans="2:17" x14ac:dyDescent="0.2">
      <c r="B80" s="72">
        <f t="shared" si="14"/>
        <v>72</v>
      </c>
      <c r="C80" s="4"/>
      <c r="D80" s="4"/>
      <c r="E80" s="4"/>
      <c r="F80" s="53" t="s">
        <v>77</v>
      </c>
      <c r="G80" s="4">
        <v>637</v>
      </c>
      <c r="H80" s="4" t="s">
        <v>128</v>
      </c>
      <c r="I80" s="23">
        <f>69974+275-4+15000</f>
        <v>85245</v>
      </c>
      <c r="J80" s="23">
        <v>82405</v>
      </c>
      <c r="K80" s="198">
        <f t="shared" si="9"/>
        <v>96.668426300662787</v>
      </c>
      <c r="L80" s="23"/>
      <c r="M80" s="23"/>
      <c r="N80" s="214"/>
      <c r="O80" s="23">
        <f t="shared" si="10"/>
        <v>85245</v>
      </c>
      <c r="P80" s="23">
        <f t="shared" si="11"/>
        <v>82405</v>
      </c>
      <c r="Q80" s="203">
        <f t="shared" si="12"/>
        <v>96.668426300662787</v>
      </c>
    </row>
    <row r="81" spans="2:17" x14ac:dyDescent="0.2">
      <c r="B81" s="72">
        <f t="shared" si="14"/>
        <v>73</v>
      </c>
      <c r="C81" s="12"/>
      <c r="D81" s="12"/>
      <c r="E81" s="12"/>
      <c r="F81" s="52" t="s">
        <v>77</v>
      </c>
      <c r="G81" s="12">
        <v>640</v>
      </c>
      <c r="H81" s="12" t="s">
        <v>134</v>
      </c>
      <c r="I81" s="49">
        <f>450+100+500</f>
        <v>1050</v>
      </c>
      <c r="J81" s="49">
        <v>1047</v>
      </c>
      <c r="K81" s="198">
        <f t="shared" si="9"/>
        <v>99.714285714285708</v>
      </c>
      <c r="L81" s="49"/>
      <c r="M81" s="49"/>
      <c r="N81" s="214"/>
      <c r="O81" s="49">
        <f t="shared" si="10"/>
        <v>1050</v>
      </c>
      <c r="P81" s="49">
        <f t="shared" si="11"/>
        <v>1047</v>
      </c>
      <c r="Q81" s="203">
        <f t="shared" si="12"/>
        <v>99.714285714285708</v>
      </c>
    </row>
    <row r="82" spans="2:17" x14ac:dyDescent="0.2">
      <c r="B82" s="72">
        <f t="shared" si="14"/>
        <v>74</v>
      </c>
      <c r="C82" s="12"/>
      <c r="D82" s="12"/>
      <c r="E82" s="57"/>
      <c r="F82" s="82" t="s">
        <v>77</v>
      </c>
      <c r="G82" s="83">
        <v>717</v>
      </c>
      <c r="H82" s="83" t="s">
        <v>193</v>
      </c>
      <c r="I82" s="84">
        <f>SUM(I83:I83)</f>
        <v>0</v>
      </c>
      <c r="J82" s="84">
        <f>SUM(J83:J83)</f>
        <v>0</v>
      </c>
      <c r="K82" s="198"/>
      <c r="L82" s="84">
        <f>SUM(L83:L85)</f>
        <v>10700</v>
      </c>
      <c r="M82" s="84">
        <f>SUM(M83:M85)</f>
        <v>8426</v>
      </c>
      <c r="N82" s="214">
        <f t="shared" si="13"/>
        <v>78.747663551401871</v>
      </c>
      <c r="O82" s="84">
        <f t="shared" si="10"/>
        <v>10700</v>
      </c>
      <c r="P82" s="84">
        <f t="shared" si="11"/>
        <v>8426</v>
      </c>
      <c r="Q82" s="203">
        <f t="shared" si="12"/>
        <v>78.747663551401871</v>
      </c>
    </row>
    <row r="83" spans="2:17" x14ac:dyDescent="0.2">
      <c r="B83" s="72">
        <f t="shared" si="14"/>
        <v>75</v>
      </c>
      <c r="C83" s="12"/>
      <c r="D83" s="12"/>
      <c r="E83" s="57"/>
      <c r="F83" s="53"/>
      <c r="G83" s="4"/>
      <c r="H83" s="4" t="s">
        <v>650</v>
      </c>
      <c r="I83" s="23"/>
      <c r="J83" s="23"/>
      <c r="K83" s="198"/>
      <c r="L83" s="23">
        <v>6700</v>
      </c>
      <c r="M83" s="23">
        <v>5996</v>
      </c>
      <c r="N83" s="214">
        <f t="shared" si="13"/>
        <v>89.492537313432834</v>
      </c>
      <c r="O83" s="23">
        <f t="shared" si="10"/>
        <v>6700</v>
      </c>
      <c r="P83" s="23">
        <f t="shared" si="11"/>
        <v>5996</v>
      </c>
      <c r="Q83" s="203">
        <f t="shared" si="12"/>
        <v>89.492537313432834</v>
      </c>
    </row>
    <row r="84" spans="2:17" x14ac:dyDescent="0.2">
      <c r="B84" s="72">
        <f t="shared" si="14"/>
        <v>76</v>
      </c>
      <c r="C84" s="12"/>
      <c r="D84" s="12"/>
      <c r="E84" s="57"/>
      <c r="F84" s="53"/>
      <c r="G84" s="4"/>
      <c r="H84" s="4" t="s">
        <v>725</v>
      </c>
      <c r="I84" s="23"/>
      <c r="J84" s="23"/>
      <c r="K84" s="198"/>
      <c r="L84" s="23">
        <v>2000</v>
      </c>
      <c r="M84" s="23">
        <v>1450</v>
      </c>
      <c r="N84" s="214">
        <f t="shared" si="13"/>
        <v>72.5</v>
      </c>
      <c r="O84" s="23">
        <f t="shared" si="10"/>
        <v>2000</v>
      </c>
      <c r="P84" s="23">
        <f t="shared" si="11"/>
        <v>1450</v>
      </c>
      <c r="Q84" s="203">
        <f t="shared" si="12"/>
        <v>72.5</v>
      </c>
    </row>
    <row r="85" spans="2:17" x14ac:dyDescent="0.2">
      <c r="B85" s="72">
        <f t="shared" si="14"/>
        <v>77</v>
      </c>
      <c r="C85" s="12"/>
      <c r="D85" s="12"/>
      <c r="E85" s="57"/>
      <c r="F85" s="53"/>
      <c r="G85" s="4"/>
      <c r="H85" s="4" t="s">
        <v>726</v>
      </c>
      <c r="I85" s="23"/>
      <c r="J85" s="23"/>
      <c r="K85" s="198"/>
      <c r="L85" s="23">
        <v>2000</v>
      </c>
      <c r="M85" s="23">
        <v>980</v>
      </c>
      <c r="N85" s="214">
        <f t="shared" si="13"/>
        <v>49</v>
      </c>
      <c r="O85" s="23">
        <f t="shared" si="10"/>
        <v>2000</v>
      </c>
      <c r="P85" s="23">
        <f t="shared" si="11"/>
        <v>980</v>
      </c>
      <c r="Q85" s="203">
        <f t="shared" si="12"/>
        <v>49</v>
      </c>
    </row>
    <row r="86" spans="2:17" ht="15" x14ac:dyDescent="0.25">
      <c r="B86" s="72">
        <f t="shared" si="14"/>
        <v>78</v>
      </c>
      <c r="C86" s="178"/>
      <c r="D86" s="178">
        <v>3</v>
      </c>
      <c r="E86" s="252" t="s">
        <v>342</v>
      </c>
      <c r="F86" s="253"/>
      <c r="G86" s="253"/>
      <c r="H86" s="254"/>
      <c r="I86" s="46">
        <f>I87+I91</f>
        <v>20725</v>
      </c>
      <c r="J86" s="46">
        <f>J87+J91</f>
        <v>17157</v>
      </c>
      <c r="K86" s="198">
        <f t="shared" ref="K86:K114" si="15">J86/I86*100</f>
        <v>82.784077201447531</v>
      </c>
      <c r="L86" s="46">
        <f>L87+L91</f>
        <v>0</v>
      </c>
      <c r="M86" s="46">
        <f>M87+M91</f>
        <v>0</v>
      </c>
      <c r="N86" s="216"/>
      <c r="O86" s="46">
        <f t="shared" si="10"/>
        <v>20725</v>
      </c>
      <c r="P86" s="46">
        <f t="shared" si="11"/>
        <v>17157</v>
      </c>
      <c r="Q86" s="203">
        <f t="shared" si="12"/>
        <v>82.784077201447531</v>
      </c>
    </row>
    <row r="87" spans="2:17" x14ac:dyDescent="0.2">
      <c r="B87" s="72">
        <f t="shared" si="14"/>
        <v>79</v>
      </c>
      <c r="C87" s="12"/>
      <c r="D87" s="12"/>
      <c r="E87" s="12"/>
      <c r="F87" s="52" t="s">
        <v>77</v>
      </c>
      <c r="G87" s="12">
        <v>630</v>
      </c>
      <c r="H87" s="12" t="s">
        <v>127</v>
      </c>
      <c r="I87" s="49">
        <f>I90+I89+I88</f>
        <v>1425</v>
      </c>
      <c r="J87" s="49">
        <f>J90+J89+J88</f>
        <v>1337</v>
      </c>
      <c r="K87" s="198">
        <f t="shared" si="15"/>
        <v>93.824561403508781</v>
      </c>
      <c r="L87" s="49">
        <f>L90+L89+L88</f>
        <v>0</v>
      </c>
      <c r="M87" s="49">
        <f>M90+M89+M88</f>
        <v>0</v>
      </c>
      <c r="N87" s="214"/>
      <c r="O87" s="49">
        <f t="shared" si="10"/>
        <v>1425</v>
      </c>
      <c r="P87" s="49">
        <f t="shared" si="11"/>
        <v>1337</v>
      </c>
      <c r="Q87" s="203">
        <f t="shared" si="12"/>
        <v>93.824561403508781</v>
      </c>
    </row>
    <row r="88" spans="2:17" x14ac:dyDescent="0.2">
      <c r="B88" s="72">
        <f t="shared" si="14"/>
        <v>80</v>
      </c>
      <c r="C88" s="4"/>
      <c r="D88" s="4"/>
      <c r="E88" s="4"/>
      <c r="F88" s="53" t="s">
        <v>77</v>
      </c>
      <c r="G88" s="4">
        <v>633</v>
      </c>
      <c r="H88" s="4" t="s">
        <v>131</v>
      </c>
      <c r="I88" s="23">
        <v>1000</v>
      </c>
      <c r="J88" s="23">
        <v>998</v>
      </c>
      <c r="K88" s="198">
        <f t="shared" si="15"/>
        <v>99.8</v>
      </c>
      <c r="L88" s="23"/>
      <c r="M88" s="23"/>
      <c r="N88" s="214"/>
      <c r="O88" s="23">
        <f t="shared" si="10"/>
        <v>1000</v>
      </c>
      <c r="P88" s="23">
        <f t="shared" si="11"/>
        <v>998</v>
      </c>
      <c r="Q88" s="203">
        <f t="shared" si="12"/>
        <v>99.8</v>
      </c>
    </row>
    <row r="89" spans="2:17" x14ac:dyDescent="0.2">
      <c r="B89" s="72">
        <f t="shared" si="14"/>
        <v>81</v>
      </c>
      <c r="C89" s="4"/>
      <c r="D89" s="4"/>
      <c r="E89" s="4"/>
      <c r="F89" s="53" t="s">
        <v>77</v>
      </c>
      <c r="G89" s="4">
        <v>635</v>
      </c>
      <c r="H89" s="4" t="s">
        <v>137</v>
      </c>
      <c r="I89" s="23">
        <v>200</v>
      </c>
      <c r="J89" s="23">
        <v>200</v>
      </c>
      <c r="K89" s="198">
        <f t="shared" si="15"/>
        <v>100</v>
      </c>
      <c r="L89" s="23"/>
      <c r="M89" s="23"/>
      <c r="N89" s="214"/>
      <c r="O89" s="23">
        <f t="shared" si="10"/>
        <v>200</v>
      </c>
      <c r="P89" s="23">
        <f t="shared" si="11"/>
        <v>200</v>
      </c>
      <c r="Q89" s="203">
        <f t="shared" si="12"/>
        <v>100</v>
      </c>
    </row>
    <row r="90" spans="2:17" x14ac:dyDescent="0.2">
      <c r="B90" s="72">
        <f t="shared" si="14"/>
        <v>82</v>
      </c>
      <c r="C90" s="4"/>
      <c r="D90" s="4"/>
      <c r="E90" s="4"/>
      <c r="F90" s="53" t="s">
        <v>77</v>
      </c>
      <c r="G90" s="4">
        <v>637</v>
      </c>
      <c r="H90" s="4" t="s">
        <v>128</v>
      </c>
      <c r="I90" s="23">
        <v>225</v>
      </c>
      <c r="J90" s="23">
        <v>139</v>
      </c>
      <c r="K90" s="198">
        <f t="shared" si="15"/>
        <v>61.777777777777779</v>
      </c>
      <c r="L90" s="23"/>
      <c r="M90" s="23"/>
      <c r="N90" s="214"/>
      <c r="O90" s="23">
        <f t="shared" ref="O90:O120" si="16">I90+L90</f>
        <v>225</v>
      </c>
      <c r="P90" s="23">
        <f t="shared" ref="P90:P120" si="17">J90+M90</f>
        <v>139</v>
      </c>
      <c r="Q90" s="203">
        <f t="shared" ref="Q90:Q115" si="18">P90/O90*100</f>
        <v>61.777777777777779</v>
      </c>
    </row>
    <row r="91" spans="2:17" ht="15" x14ac:dyDescent="0.25">
      <c r="B91" s="72">
        <f t="shared" si="14"/>
        <v>83</v>
      </c>
      <c r="C91" s="15"/>
      <c r="D91" s="15"/>
      <c r="E91" s="15">
        <v>2</v>
      </c>
      <c r="F91" s="50"/>
      <c r="G91" s="15"/>
      <c r="H91" s="15" t="s">
        <v>256</v>
      </c>
      <c r="I91" s="47">
        <f>I92</f>
        <v>19300</v>
      </c>
      <c r="J91" s="47">
        <f>J92</f>
        <v>15820</v>
      </c>
      <c r="K91" s="198">
        <f t="shared" si="15"/>
        <v>81.968911917098438</v>
      </c>
      <c r="L91" s="47">
        <f>L92</f>
        <v>0</v>
      </c>
      <c r="M91" s="47">
        <f>M92</f>
        <v>0</v>
      </c>
      <c r="N91" s="214"/>
      <c r="O91" s="47">
        <f t="shared" si="16"/>
        <v>19300</v>
      </c>
      <c r="P91" s="47">
        <f t="shared" si="17"/>
        <v>15820</v>
      </c>
      <c r="Q91" s="203">
        <f t="shared" si="18"/>
        <v>81.968911917098438</v>
      </c>
    </row>
    <row r="92" spans="2:17" x14ac:dyDescent="0.2">
      <c r="B92" s="72">
        <f t="shared" si="14"/>
        <v>84</v>
      </c>
      <c r="C92" s="12"/>
      <c r="D92" s="12"/>
      <c r="E92" s="12"/>
      <c r="F92" s="52" t="s">
        <v>77</v>
      </c>
      <c r="G92" s="12">
        <v>630</v>
      </c>
      <c r="H92" s="12" t="s">
        <v>127</v>
      </c>
      <c r="I92" s="49">
        <f>I96+I95+I94+I93</f>
        <v>19300</v>
      </c>
      <c r="J92" s="49">
        <f>J96+J95+J94+J93</f>
        <v>15820</v>
      </c>
      <c r="K92" s="198">
        <f t="shared" si="15"/>
        <v>81.968911917098438</v>
      </c>
      <c r="L92" s="49">
        <f>L96+L95+L94+L93</f>
        <v>0</v>
      </c>
      <c r="M92" s="49">
        <f>M96+M95+M94+M93</f>
        <v>0</v>
      </c>
      <c r="N92" s="214"/>
      <c r="O92" s="49">
        <f t="shared" si="16"/>
        <v>19300</v>
      </c>
      <c r="P92" s="49">
        <f t="shared" si="17"/>
        <v>15820</v>
      </c>
      <c r="Q92" s="203">
        <f t="shared" si="18"/>
        <v>81.968911917098438</v>
      </c>
    </row>
    <row r="93" spans="2:17" x14ac:dyDescent="0.2">
      <c r="B93" s="72">
        <f t="shared" si="14"/>
        <v>85</v>
      </c>
      <c r="C93" s="4"/>
      <c r="D93" s="4"/>
      <c r="E93" s="4"/>
      <c r="F93" s="53" t="s">
        <v>77</v>
      </c>
      <c r="G93" s="4">
        <v>632</v>
      </c>
      <c r="H93" s="4" t="s">
        <v>138</v>
      </c>
      <c r="I93" s="23">
        <v>17800</v>
      </c>
      <c r="J93" s="23">
        <v>14768</v>
      </c>
      <c r="K93" s="198">
        <f t="shared" si="15"/>
        <v>82.966292134831463</v>
      </c>
      <c r="L93" s="23"/>
      <c r="M93" s="23"/>
      <c r="N93" s="214"/>
      <c r="O93" s="23">
        <f t="shared" si="16"/>
        <v>17800</v>
      </c>
      <c r="P93" s="23">
        <f t="shared" si="17"/>
        <v>14768</v>
      </c>
      <c r="Q93" s="203">
        <f t="shared" si="18"/>
        <v>82.966292134831463</v>
      </c>
    </row>
    <row r="94" spans="2:17" x14ac:dyDescent="0.2">
      <c r="B94" s="72">
        <f t="shared" si="14"/>
        <v>86</v>
      </c>
      <c r="C94" s="4"/>
      <c r="D94" s="4"/>
      <c r="E94" s="4"/>
      <c r="F94" s="53" t="s">
        <v>77</v>
      </c>
      <c r="G94" s="4">
        <v>633</v>
      </c>
      <c r="H94" s="4" t="s">
        <v>131</v>
      </c>
      <c r="I94" s="23">
        <v>100</v>
      </c>
      <c r="J94" s="23">
        <v>0</v>
      </c>
      <c r="K94" s="198">
        <f t="shared" si="15"/>
        <v>0</v>
      </c>
      <c r="L94" s="23"/>
      <c r="M94" s="23"/>
      <c r="N94" s="214"/>
      <c r="O94" s="23">
        <f t="shared" si="16"/>
        <v>100</v>
      </c>
      <c r="P94" s="23">
        <f t="shared" si="17"/>
        <v>0</v>
      </c>
      <c r="Q94" s="203">
        <f t="shared" si="18"/>
        <v>0</v>
      </c>
    </row>
    <row r="95" spans="2:17" x14ac:dyDescent="0.2">
      <c r="B95" s="72">
        <f t="shared" si="14"/>
        <v>87</v>
      </c>
      <c r="C95" s="4"/>
      <c r="D95" s="4"/>
      <c r="E95" s="4"/>
      <c r="F95" s="53" t="s">
        <v>77</v>
      </c>
      <c r="G95" s="4">
        <v>635</v>
      </c>
      <c r="H95" s="4" t="s">
        <v>137</v>
      </c>
      <c r="I95" s="23">
        <f>300+1000</f>
        <v>1300</v>
      </c>
      <c r="J95" s="23">
        <v>999</v>
      </c>
      <c r="K95" s="198">
        <f t="shared" si="15"/>
        <v>76.84615384615384</v>
      </c>
      <c r="L95" s="23"/>
      <c r="M95" s="23"/>
      <c r="N95" s="214"/>
      <c r="O95" s="23">
        <f t="shared" si="16"/>
        <v>1300</v>
      </c>
      <c r="P95" s="23">
        <f t="shared" si="17"/>
        <v>999</v>
      </c>
      <c r="Q95" s="203">
        <f t="shared" si="18"/>
        <v>76.84615384615384</v>
      </c>
    </row>
    <row r="96" spans="2:17" x14ac:dyDescent="0.2">
      <c r="B96" s="72">
        <f t="shared" si="14"/>
        <v>88</v>
      </c>
      <c r="C96" s="4"/>
      <c r="D96" s="4"/>
      <c r="E96" s="4"/>
      <c r="F96" s="53" t="s">
        <v>77</v>
      </c>
      <c r="G96" s="4">
        <v>637</v>
      </c>
      <c r="H96" s="4" t="s">
        <v>128</v>
      </c>
      <c r="I96" s="23">
        <v>100</v>
      </c>
      <c r="J96" s="23">
        <v>53</v>
      </c>
      <c r="K96" s="198">
        <f t="shared" si="15"/>
        <v>53</v>
      </c>
      <c r="L96" s="23"/>
      <c r="M96" s="23"/>
      <c r="N96" s="214"/>
      <c r="O96" s="23">
        <f t="shared" si="16"/>
        <v>100</v>
      </c>
      <c r="P96" s="23">
        <f t="shared" si="17"/>
        <v>53</v>
      </c>
      <c r="Q96" s="203">
        <f t="shared" si="18"/>
        <v>53</v>
      </c>
    </row>
    <row r="97" spans="2:17" ht="15" x14ac:dyDescent="0.2">
      <c r="B97" s="72">
        <f t="shared" si="14"/>
        <v>89</v>
      </c>
      <c r="C97" s="179">
        <v>6</v>
      </c>
      <c r="D97" s="257" t="s">
        <v>421</v>
      </c>
      <c r="E97" s="253"/>
      <c r="F97" s="253"/>
      <c r="G97" s="253"/>
      <c r="H97" s="254"/>
      <c r="I97" s="45">
        <f>I98+I99+I102+I104</f>
        <v>1020945</v>
      </c>
      <c r="J97" s="45">
        <f>J98+J99+J102+J104</f>
        <v>1009588</v>
      </c>
      <c r="K97" s="198">
        <f t="shared" si="15"/>
        <v>98.887599234042966</v>
      </c>
      <c r="L97" s="45">
        <f>L98+L99+L102+L104</f>
        <v>25000</v>
      </c>
      <c r="M97" s="45">
        <f>M98+M99+M102+M104</f>
        <v>24859</v>
      </c>
      <c r="N97" s="216">
        <f t="shared" ref="N97:N117" si="19">M97/L97*100</f>
        <v>99.436000000000007</v>
      </c>
      <c r="O97" s="45">
        <f t="shared" si="16"/>
        <v>1045945</v>
      </c>
      <c r="P97" s="45">
        <f t="shared" si="17"/>
        <v>1034447</v>
      </c>
      <c r="Q97" s="203">
        <f t="shared" si="18"/>
        <v>98.900707016143301</v>
      </c>
    </row>
    <row r="98" spans="2:17" x14ac:dyDescent="0.2">
      <c r="B98" s="72">
        <f t="shared" si="14"/>
        <v>90</v>
      </c>
      <c r="C98" s="12"/>
      <c r="D98" s="12"/>
      <c r="E98" s="12"/>
      <c r="F98" s="52" t="s">
        <v>77</v>
      </c>
      <c r="G98" s="12">
        <v>620</v>
      </c>
      <c r="H98" s="12" t="s">
        <v>130</v>
      </c>
      <c r="I98" s="49">
        <v>760</v>
      </c>
      <c r="J98" s="49">
        <v>760</v>
      </c>
      <c r="K98" s="198">
        <f t="shared" si="15"/>
        <v>100</v>
      </c>
      <c r="L98" s="49"/>
      <c r="M98" s="49"/>
      <c r="N98" s="214"/>
      <c r="O98" s="49">
        <f t="shared" si="16"/>
        <v>760</v>
      </c>
      <c r="P98" s="49">
        <f t="shared" si="17"/>
        <v>760</v>
      </c>
      <c r="Q98" s="203">
        <f t="shared" si="18"/>
        <v>100</v>
      </c>
    </row>
    <row r="99" spans="2:17" x14ac:dyDescent="0.2">
      <c r="B99" s="72">
        <f t="shared" si="14"/>
        <v>91</v>
      </c>
      <c r="C99" s="12"/>
      <c r="D99" s="12"/>
      <c r="E99" s="12"/>
      <c r="F99" s="52" t="s">
        <v>77</v>
      </c>
      <c r="G99" s="12">
        <v>630</v>
      </c>
      <c r="H99" s="12" t="s">
        <v>127</v>
      </c>
      <c r="I99" s="49">
        <f>I100+I101</f>
        <v>3001</v>
      </c>
      <c r="J99" s="49">
        <f>J100+J101</f>
        <v>2259</v>
      </c>
      <c r="K99" s="198">
        <f t="shared" si="15"/>
        <v>75.274908363878708</v>
      </c>
      <c r="L99" s="49">
        <f>L100</f>
        <v>0</v>
      </c>
      <c r="M99" s="49">
        <f>M100</f>
        <v>0</v>
      </c>
      <c r="N99" s="214"/>
      <c r="O99" s="49">
        <f t="shared" si="16"/>
        <v>3001</v>
      </c>
      <c r="P99" s="49">
        <f t="shared" si="17"/>
        <v>2259</v>
      </c>
      <c r="Q99" s="203">
        <f t="shared" si="18"/>
        <v>75.274908363878708</v>
      </c>
    </row>
    <row r="100" spans="2:17" x14ac:dyDescent="0.2">
      <c r="B100" s="72">
        <f t="shared" si="14"/>
        <v>92</v>
      </c>
      <c r="C100" s="4"/>
      <c r="D100" s="4"/>
      <c r="E100" s="4"/>
      <c r="F100" s="53" t="s">
        <v>77</v>
      </c>
      <c r="G100" s="4">
        <v>637</v>
      </c>
      <c r="H100" s="4" t="s">
        <v>128</v>
      </c>
      <c r="I100" s="23">
        <v>3000</v>
      </c>
      <c r="J100" s="23">
        <v>2258</v>
      </c>
      <c r="K100" s="198">
        <f t="shared" si="15"/>
        <v>75.266666666666666</v>
      </c>
      <c r="L100" s="23"/>
      <c r="M100" s="23"/>
      <c r="N100" s="214"/>
      <c r="O100" s="23">
        <f t="shared" si="16"/>
        <v>3000</v>
      </c>
      <c r="P100" s="23">
        <f t="shared" si="17"/>
        <v>2258</v>
      </c>
      <c r="Q100" s="203">
        <f t="shared" si="18"/>
        <v>75.266666666666666</v>
      </c>
    </row>
    <row r="101" spans="2:17" x14ac:dyDescent="0.2">
      <c r="B101" s="72">
        <f t="shared" si="14"/>
        <v>93</v>
      </c>
      <c r="C101" s="4"/>
      <c r="D101" s="4"/>
      <c r="E101" s="4"/>
      <c r="F101" s="53" t="s">
        <v>77</v>
      </c>
      <c r="G101" s="4">
        <v>630</v>
      </c>
      <c r="H101" s="4" t="s">
        <v>582</v>
      </c>
      <c r="I101" s="23">
        <v>1</v>
      </c>
      <c r="J101" s="23">
        <v>1</v>
      </c>
      <c r="K101" s="198">
        <f t="shared" si="15"/>
        <v>100</v>
      </c>
      <c r="L101" s="23"/>
      <c r="M101" s="23"/>
      <c r="N101" s="214"/>
      <c r="O101" s="23">
        <f t="shared" si="16"/>
        <v>1</v>
      </c>
      <c r="P101" s="23">
        <f t="shared" si="17"/>
        <v>1</v>
      </c>
      <c r="Q101" s="203">
        <f t="shared" si="18"/>
        <v>100</v>
      </c>
    </row>
    <row r="102" spans="2:17" x14ac:dyDescent="0.2">
      <c r="B102" s="72">
        <f t="shared" si="14"/>
        <v>94</v>
      </c>
      <c r="C102" s="12"/>
      <c r="D102" s="12"/>
      <c r="E102" s="12"/>
      <c r="F102" s="52" t="s">
        <v>77</v>
      </c>
      <c r="G102" s="12">
        <v>640</v>
      </c>
      <c r="H102" s="12" t="s">
        <v>134</v>
      </c>
      <c r="I102" s="49">
        <f>SUM(I103:I103)</f>
        <v>8200</v>
      </c>
      <c r="J102" s="49">
        <f>SUM(J103:J103)</f>
        <v>7702</v>
      </c>
      <c r="K102" s="198">
        <f t="shared" si="15"/>
        <v>93.926829268292678</v>
      </c>
      <c r="L102" s="49"/>
      <c r="M102" s="49"/>
      <c r="N102" s="214"/>
      <c r="O102" s="49">
        <f t="shared" si="16"/>
        <v>8200</v>
      </c>
      <c r="P102" s="49">
        <f t="shared" si="17"/>
        <v>7702</v>
      </c>
      <c r="Q102" s="203">
        <f t="shared" si="18"/>
        <v>93.926829268292678</v>
      </c>
    </row>
    <row r="103" spans="2:17" x14ac:dyDescent="0.2">
      <c r="B103" s="72">
        <f t="shared" si="14"/>
        <v>95</v>
      </c>
      <c r="C103" s="66"/>
      <c r="D103" s="66"/>
      <c r="E103" s="66"/>
      <c r="F103" s="69"/>
      <c r="G103" s="66"/>
      <c r="H103" s="86" t="s">
        <v>314</v>
      </c>
      <c r="I103" s="65">
        <f>7000+400+800</f>
        <v>8200</v>
      </c>
      <c r="J103" s="65">
        <v>7702</v>
      </c>
      <c r="K103" s="198">
        <f t="shared" si="15"/>
        <v>93.926829268292678</v>
      </c>
      <c r="L103" s="68"/>
      <c r="M103" s="68"/>
      <c r="N103" s="215"/>
      <c r="O103" s="65">
        <f t="shared" si="16"/>
        <v>8200</v>
      </c>
      <c r="P103" s="65">
        <f t="shared" si="17"/>
        <v>7702</v>
      </c>
      <c r="Q103" s="203">
        <f t="shared" si="18"/>
        <v>93.926829268292678</v>
      </c>
    </row>
    <row r="104" spans="2:17" ht="15" x14ac:dyDescent="0.25">
      <c r="B104" s="72">
        <f t="shared" si="14"/>
        <v>96</v>
      </c>
      <c r="C104" s="15"/>
      <c r="D104" s="15"/>
      <c r="E104" s="15">
        <v>5</v>
      </c>
      <c r="F104" s="50"/>
      <c r="G104" s="15"/>
      <c r="H104" s="15" t="s">
        <v>265</v>
      </c>
      <c r="I104" s="47">
        <f>I105+I106+I107+I114+I115</f>
        <v>1008984</v>
      </c>
      <c r="J104" s="47">
        <f>J105+J106+J107+J114+J115</f>
        <v>998867</v>
      </c>
      <c r="K104" s="198">
        <f t="shared" si="15"/>
        <v>98.99730818328139</v>
      </c>
      <c r="L104" s="47">
        <f>L105+L106+L107+L114+L115</f>
        <v>25000</v>
      </c>
      <c r="M104" s="47">
        <f>M105+M106+M107+M114+M115</f>
        <v>24859</v>
      </c>
      <c r="N104" s="214">
        <f t="shared" si="19"/>
        <v>99.436000000000007</v>
      </c>
      <c r="O104" s="47">
        <f t="shared" si="16"/>
        <v>1033984</v>
      </c>
      <c r="P104" s="47">
        <f t="shared" si="17"/>
        <v>1023726</v>
      </c>
      <c r="Q104" s="203">
        <f t="shared" si="18"/>
        <v>99.007915016093094</v>
      </c>
    </row>
    <row r="105" spans="2:17" x14ac:dyDescent="0.2">
      <c r="B105" s="72">
        <f t="shared" ref="B105:B135" si="20">B104+1</f>
        <v>97</v>
      </c>
      <c r="C105" s="12"/>
      <c r="D105" s="12"/>
      <c r="E105" s="12"/>
      <c r="F105" s="52" t="s">
        <v>76</v>
      </c>
      <c r="G105" s="12">
        <v>610</v>
      </c>
      <c r="H105" s="12" t="s">
        <v>135</v>
      </c>
      <c r="I105" s="49">
        <f>444453+2+6200+10300</f>
        <v>460955</v>
      </c>
      <c r="J105" s="49">
        <v>460954</v>
      </c>
      <c r="K105" s="198">
        <f t="shared" si="15"/>
        <v>99.999783059083853</v>
      </c>
      <c r="L105" s="49"/>
      <c r="M105" s="49"/>
      <c r="N105" s="214"/>
      <c r="O105" s="49">
        <f t="shared" si="16"/>
        <v>460955</v>
      </c>
      <c r="P105" s="49">
        <f t="shared" si="17"/>
        <v>460954</v>
      </c>
      <c r="Q105" s="203">
        <f t="shared" si="18"/>
        <v>99.999783059083853</v>
      </c>
    </row>
    <row r="106" spans="2:17" x14ac:dyDescent="0.2">
      <c r="B106" s="72">
        <f t="shared" si="20"/>
        <v>98</v>
      </c>
      <c r="C106" s="12"/>
      <c r="D106" s="12"/>
      <c r="E106" s="12"/>
      <c r="F106" s="52" t="s">
        <v>76</v>
      </c>
      <c r="G106" s="12">
        <v>620</v>
      </c>
      <c r="H106" s="12" t="s">
        <v>130</v>
      </c>
      <c r="I106" s="49">
        <f>155559+1+2170+3610+3500</f>
        <v>164840</v>
      </c>
      <c r="J106" s="49">
        <v>164837</v>
      </c>
      <c r="K106" s="198">
        <f t="shared" si="15"/>
        <v>99.998180053385099</v>
      </c>
      <c r="L106" s="49"/>
      <c r="M106" s="49"/>
      <c r="N106" s="214"/>
      <c r="O106" s="49">
        <f t="shared" si="16"/>
        <v>164840</v>
      </c>
      <c r="P106" s="49">
        <f t="shared" si="17"/>
        <v>164837</v>
      </c>
      <c r="Q106" s="203">
        <f t="shared" si="18"/>
        <v>99.998180053385099</v>
      </c>
    </row>
    <row r="107" spans="2:17" x14ac:dyDescent="0.2">
      <c r="B107" s="72">
        <f t="shared" si="20"/>
        <v>99</v>
      </c>
      <c r="C107" s="12"/>
      <c r="D107" s="12"/>
      <c r="E107" s="12"/>
      <c r="F107" s="52" t="s">
        <v>76</v>
      </c>
      <c r="G107" s="12">
        <v>630</v>
      </c>
      <c r="H107" s="12" t="s">
        <v>127</v>
      </c>
      <c r="I107" s="49">
        <f>I113+I112+I111+I110+I109+I108</f>
        <v>375850</v>
      </c>
      <c r="J107" s="49">
        <f>J113+J112+J111+J110+J109+J108</f>
        <v>365738</v>
      </c>
      <c r="K107" s="198">
        <f t="shared" si="15"/>
        <v>97.30956498603166</v>
      </c>
      <c r="L107" s="49">
        <f>L113+L112+L111+L110+L109+L108</f>
        <v>0</v>
      </c>
      <c r="M107" s="49">
        <f>M113+M112+M111+M110+M109+M108</f>
        <v>0</v>
      </c>
      <c r="N107" s="214"/>
      <c r="O107" s="49">
        <f t="shared" si="16"/>
        <v>375850</v>
      </c>
      <c r="P107" s="49">
        <f t="shared" si="17"/>
        <v>365738</v>
      </c>
      <c r="Q107" s="203">
        <f t="shared" si="18"/>
        <v>97.30956498603166</v>
      </c>
    </row>
    <row r="108" spans="2:17" x14ac:dyDescent="0.2">
      <c r="B108" s="72">
        <f t="shared" si="20"/>
        <v>100</v>
      </c>
      <c r="C108" s="4"/>
      <c r="D108" s="4"/>
      <c r="E108" s="4"/>
      <c r="F108" s="53" t="s">
        <v>76</v>
      </c>
      <c r="G108" s="4">
        <v>631</v>
      </c>
      <c r="H108" s="4" t="s">
        <v>133</v>
      </c>
      <c r="I108" s="23">
        <v>200</v>
      </c>
      <c r="J108" s="23">
        <v>196</v>
      </c>
      <c r="K108" s="198">
        <f t="shared" si="15"/>
        <v>98</v>
      </c>
      <c r="L108" s="23"/>
      <c r="M108" s="23"/>
      <c r="N108" s="214"/>
      <c r="O108" s="23">
        <f t="shared" si="16"/>
        <v>200</v>
      </c>
      <c r="P108" s="23">
        <f t="shared" si="17"/>
        <v>196</v>
      </c>
      <c r="Q108" s="203">
        <f t="shared" si="18"/>
        <v>98</v>
      </c>
    </row>
    <row r="109" spans="2:17" x14ac:dyDescent="0.2">
      <c r="B109" s="72">
        <f t="shared" si="20"/>
        <v>101</v>
      </c>
      <c r="C109" s="4"/>
      <c r="D109" s="4"/>
      <c r="E109" s="4"/>
      <c r="F109" s="53" t="s">
        <v>76</v>
      </c>
      <c r="G109" s="4">
        <v>632</v>
      </c>
      <c r="H109" s="4" t="s">
        <v>138</v>
      </c>
      <c r="I109" s="23">
        <v>93750</v>
      </c>
      <c r="J109" s="23">
        <v>89128</v>
      </c>
      <c r="K109" s="198">
        <f t="shared" si="15"/>
        <v>95.06986666666667</v>
      </c>
      <c r="L109" s="23"/>
      <c r="M109" s="23"/>
      <c r="N109" s="214"/>
      <c r="O109" s="23">
        <f t="shared" si="16"/>
        <v>93750</v>
      </c>
      <c r="P109" s="23">
        <f t="shared" si="17"/>
        <v>89128</v>
      </c>
      <c r="Q109" s="203">
        <f t="shared" si="18"/>
        <v>95.06986666666667</v>
      </c>
    </row>
    <row r="110" spans="2:17" x14ac:dyDescent="0.2">
      <c r="B110" s="72">
        <f t="shared" si="20"/>
        <v>102</v>
      </c>
      <c r="C110" s="4"/>
      <c r="D110" s="4"/>
      <c r="E110" s="4"/>
      <c r="F110" s="53" t="s">
        <v>76</v>
      </c>
      <c r="G110" s="4">
        <v>633</v>
      </c>
      <c r="H110" s="4" t="s">
        <v>131</v>
      </c>
      <c r="I110" s="23">
        <v>18870</v>
      </c>
      <c r="J110" s="23">
        <v>18826</v>
      </c>
      <c r="K110" s="198">
        <f t="shared" si="15"/>
        <v>99.766825649178585</v>
      </c>
      <c r="L110" s="23"/>
      <c r="M110" s="23"/>
      <c r="N110" s="214"/>
      <c r="O110" s="23">
        <f t="shared" si="16"/>
        <v>18870</v>
      </c>
      <c r="P110" s="23">
        <f t="shared" si="17"/>
        <v>18826</v>
      </c>
      <c r="Q110" s="203">
        <f t="shared" si="18"/>
        <v>99.766825649178585</v>
      </c>
    </row>
    <row r="111" spans="2:17" x14ac:dyDescent="0.2">
      <c r="B111" s="72">
        <f t="shared" si="20"/>
        <v>103</v>
      </c>
      <c r="C111" s="4"/>
      <c r="D111" s="4"/>
      <c r="E111" s="4"/>
      <c r="F111" s="53" t="s">
        <v>76</v>
      </c>
      <c r="G111" s="4">
        <v>634</v>
      </c>
      <c r="H111" s="4" t="s">
        <v>136</v>
      </c>
      <c r="I111" s="23">
        <v>1900</v>
      </c>
      <c r="J111" s="23">
        <v>1166</v>
      </c>
      <c r="K111" s="198">
        <f t="shared" si="15"/>
        <v>61.368421052631582</v>
      </c>
      <c r="L111" s="23"/>
      <c r="M111" s="23"/>
      <c r="N111" s="214"/>
      <c r="O111" s="23">
        <f t="shared" si="16"/>
        <v>1900</v>
      </c>
      <c r="P111" s="23">
        <f t="shared" si="17"/>
        <v>1166</v>
      </c>
      <c r="Q111" s="203">
        <f t="shared" si="18"/>
        <v>61.368421052631582</v>
      </c>
    </row>
    <row r="112" spans="2:17" x14ac:dyDescent="0.2">
      <c r="B112" s="72">
        <f t="shared" si="20"/>
        <v>104</v>
      </c>
      <c r="C112" s="4"/>
      <c r="D112" s="4"/>
      <c r="E112" s="4"/>
      <c r="F112" s="53" t="s">
        <v>76</v>
      </c>
      <c r="G112" s="4">
        <v>635</v>
      </c>
      <c r="H112" s="4" t="s">
        <v>137</v>
      </c>
      <c r="I112" s="23">
        <v>24250</v>
      </c>
      <c r="J112" s="23">
        <v>22952</v>
      </c>
      <c r="K112" s="198">
        <f t="shared" si="15"/>
        <v>94.647422680412376</v>
      </c>
      <c r="L112" s="23"/>
      <c r="M112" s="23"/>
      <c r="N112" s="214"/>
      <c r="O112" s="23">
        <f t="shared" si="16"/>
        <v>24250</v>
      </c>
      <c r="P112" s="23">
        <f t="shared" si="17"/>
        <v>22952</v>
      </c>
      <c r="Q112" s="203">
        <f t="shared" si="18"/>
        <v>94.647422680412376</v>
      </c>
    </row>
    <row r="113" spans="2:17" x14ac:dyDescent="0.2">
      <c r="B113" s="72">
        <f t="shared" si="20"/>
        <v>105</v>
      </c>
      <c r="C113" s="4"/>
      <c r="D113" s="4"/>
      <c r="E113" s="4"/>
      <c r="F113" s="53" t="s">
        <v>76</v>
      </c>
      <c r="G113" s="4">
        <v>637</v>
      </c>
      <c r="H113" s="4" t="s">
        <v>128</v>
      </c>
      <c r="I113" s="23">
        <f>242937+275+3-945+600-5990</f>
        <v>236880</v>
      </c>
      <c r="J113" s="23">
        <v>233470</v>
      </c>
      <c r="K113" s="198">
        <f t="shared" si="15"/>
        <v>98.560452549814244</v>
      </c>
      <c r="L113" s="23"/>
      <c r="M113" s="23"/>
      <c r="N113" s="214"/>
      <c r="O113" s="23">
        <f t="shared" si="16"/>
        <v>236880</v>
      </c>
      <c r="P113" s="23">
        <f t="shared" si="17"/>
        <v>233470</v>
      </c>
      <c r="Q113" s="203">
        <f t="shared" si="18"/>
        <v>98.560452549814244</v>
      </c>
    </row>
    <row r="114" spans="2:17" x14ac:dyDescent="0.2">
      <c r="B114" s="72">
        <f t="shared" si="20"/>
        <v>106</v>
      </c>
      <c r="C114" s="12"/>
      <c r="D114" s="12"/>
      <c r="E114" s="12"/>
      <c r="F114" s="52" t="s">
        <v>76</v>
      </c>
      <c r="G114" s="12">
        <v>640</v>
      </c>
      <c r="H114" s="12" t="s">
        <v>134</v>
      </c>
      <c r="I114" s="49">
        <f>3100+400+3459+270+110</f>
        <v>7339</v>
      </c>
      <c r="J114" s="49">
        <v>7338</v>
      </c>
      <c r="K114" s="198">
        <f t="shared" si="15"/>
        <v>99.986374165417629</v>
      </c>
      <c r="L114" s="49"/>
      <c r="M114" s="49"/>
      <c r="N114" s="214"/>
      <c r="O114" s="49">
        <f t="shared" si="16"/>
        <v>7339</v>
      </c>
      <c r="P114" s="49">
        <f t="shared" si="17"/>
        <v>7338</v>
      </c>
      <c r="Q114" s="203">
        <f t="shared" si="18"/>
        <v>99.986374165417629</v>
      </c>
    </row>
    <row r="115" spans="2:17" x14ac:dyDescent="0.2">
      <c r="B115" s="72">
        <f t="shared" si="20"/>
        <v>107</v>
      </c>
      <c r="C115" s="12"/>
      <c r="D115" s="12"/>
      <c r="E115" s="12"/>
      <c r="F115" s="52" t="s">
        <v>76</v>
      </c>
      <c r="G115" s="12">
        <v>710</v>
      </c>
      <c r="H115" s="12" t="s">
        <v>183</v>
      </c>
      <c r="I115" s="49">
        <f>I116</f>
        <v>0</v>
      </c>
      <c r="J115" s="49">
        <f>J116</f>
        <v>0</v>
      </c>
      <c r="K115" s="198"/>
      <c r="L115" s="49">
        <f>L116</f>
        <v>25000</v>
      </c>
      <c r="M115" s="49">
        <f>M116</f>
        <v>24859</v>
      </c>
      <c r="N115" s="214">
        <f t="shared" si="19"/>
        <v>99.436000000000007</v>
      </c>
      <c r="O115" s="49">
        <f t="shared" si="16"/>
        <v>25000</v>
      </c>
      <c r="P115" s="49">
        <f t="shared" si="17"/>
        <v>24859</v>
      </c>
      <c r="Q115" s="203">
        <f t="shared" si="18"/>
        <v>99.436000000000007</v>
      </c>
    </row>
    <row r="116" spans="2:17" x14ac:dyDescent="0.2">
      <c r="B116" s="72">
        <f t="shared" si="20"/>
        <v>108</v>
      </c>
      <c r="C116" s="4"/>
      <c r="D116" s="4"/>
      <c r="E116" s="4"/>
      <c r="F116" s="82" t="s">
        <v>76</v>
      </c>
      <c r="G116" s="83">
        <v>717</v>
      </c>
      <c r="H116" s="83" t="s">
        <v>193</v>
      </c>
      <c r="I116" s="84">
        <v>0</v>
      </c>
      <c r="J116" s="84">
        <v>0</v>
      </c>
      <c r="K116" s="198"/>
      <c r="L116" s="84">
        <f>L117</f>
        <v>25000</v>
      </c>
      <c r="M116" s="84">
        <f>M117</f>
        <v>24859</v>
      </c>
      <c r="N116" s="214">
        <f t="shared" si="19"/>
        <v>99.436000000000007</v>
      </c>
      <c r="O116" s="84">
        <f t="shared" si="16"/>
        <v>25000</v>
      </c>
      <c r="P116" s="84">
        <f t="shared" si="17"/>
        <v>24859</v>
      </c>
      <c r="Q116" s="203"/>
    </row>
    <row r="117" spans="2:17" x14ac:dyDescent="0.2">
      <c r="B117" s="72">
        <f t="shared" si="20"/>
        <v>109</v>
      </c>
      <c r="C117" s="4"/>
      <c r="D117" s="4"/>
      <c r="E117" s="4"/>
      <c r="F117" s="53"/>
      <c r="G117" s="4"/>
      <c r="H117" s="4" t="s">
        <v>647</v>
      </c>
      <c r="I117" s="23"/>
      <c r="J117" s="23"/>
      <c r="K117" s="198"/>
      <c r="L117" s="23">
        <v>25000</v>
      </c>
      <c r="M117" s="23">
        <v>24859</v>
      </c>
      <c r="N117" s="214">
        <f t="shared" si="19"/>
        <v>99.436000000000007</v>
      </c>
      <c r="O117" s="23">
        <f t="shared" si="16"/>
        <v>25000</v>
      </c>
      <c r="P117" s="23">
        <f t="shared" si="17"/>
        <v>24859</v>
      </c>
      <c r="Q117" s="203">
        <f t="shared" ref="Q117:Q156" si="21">P117/O117*100</f>
        <v>99.436000000000007</v>
      </c>
    </row>
    <row r="118" spans="2:17" ht="15" x14ac:dyDescent="0.2">
      <c r="B118" s="72">
        <f t="shared" si="20"/>
        <v>110</v>
      </c>
      <c r="C118" s="179">
        <v>7</v>
      </c>
      <c r="D118" s="257" t="s">
        <v>234</v>
      </c>
      <c r="E118" s="253"/>
      <c r="F118" s="253"/>
      <c r="G118" s="253"/>
      <c r="H118" s="254"/>
      <c r="I118" s="45">
        <f>I119</f>
        <v>519742</v>
      </c>
      <c r="J118" s="45">
        <f>J119</f>
        <v>513276</v>
      </c>
      <c r="K118" s="198">
        <f t="shared" ref="K118:K156" si="22">J118/I118*100</f>
        <v>98.755921207060425</v>
      </c>
      <c r="L118" s="45">
        <f>L119</f>
        <v>0</v>
      </c>
      <c r="M118" s="45">
        <f>M119</f>
        <v>0</v>
      </c>
      <c r="N118" s="216"/>
      <c r="O118" s="45">
        <f t="shared" si="16"/>
        <v>519742</v>
      </c>
      <c r="P118" s="45">
        <f t="shared" si="17"/>
        <v>513276</v>
      </c>
      <c r="Q118" s="203">
        <f t="shared" si="21"/>
        <v>98.755921207060425</v>
      </c>
    </row>
    <row r="119" spans="2:17" ht="15" x14ac:dyDescent="0.25">
      <c r="B119" s="72">
        <f t="shared" si="20"/>
        <v>111</v>
      </c>
      <c r="C119" s="15"/>
      <c r="D119" s="15"/>
      <c r="E119" s="15">
        <v>5</v>
      </c>
      <c r="F119" s="50"/>
      <c r="G119" s="15"/>
      <c r="H119" s="15" t="s">
        <v>265</v>
      </c>
      <c r="I119" s="47">
        <f>I120+I121+I122+I127</f>
        <v>519742</v>
      </c>
      <c r="J119" s="47">
        <f>J120+J121+J122+J127</f>
        <v>513276</v>
      </c>
      <c r="K119" s="198">
        <f t="shared" si="22"/>
        <v>98.755921207060425</v>
      </c>
      <c r="L119" s="47">
        <f>L120+L121+L122+L127</f>
        <v>0</v>
      </c>
      <c r="M119" s="47">
        <f>M120+M121+M122+M127</f>
        <v>0</v>
      </c>
      <c r="N119" s="214"/>
      <c r="O119" s="47">
        <f t="shared" si="16"/>
        <v>519742</v>
      </c>
      <c r="P119" s="47">
        <f t="shared" si="17"/>
        <v>513276</v>
      </c>
      <c r="Q119" s="203">
        <f t="shared" si="21"/>
        <v>98.755921207060425</v>
      </c>
    </row>
    <row r="120" spans="2:17" x14ac:dyDescent="0.2">
      <c r="B120" s="72">
        <f t="shared" si="20"/>
        <v>112</v>
      </c>
      <c r="C120" s="12"/>
      <c r="D120" s="12"/>
      <c r="E120" s="12"/>
      <c r="F120" s="52" t="s">
        <v>76</v>
      </c>
      <c r="G120" s="12">
        <v>610</v>
      </c>
      <c r="H120" s="12" t="s">
        <v>135</v>
      </c>
      <c r="I120" s="49">
        <f>221000+129510-5951-2000</f>
        <v>342559</v>
      </c>
      <c r="J120" s="49">
        <v>342558</v>
      </c>
      <c r="K120" s="198">
        <f t="shared" si="22"/>
        <v>99.999708079484122</v>
      </c>
      <c r="L120" s="49"/>
      <c r="M120" s="49"/>
      <c r="N120" s="214"/>
      <c r="O120" s="49">
        <f t="shared" si="16"/>
        <v>342559</v>
      </c>
      <c r="P120" s="49">
        <f t="shared" si="17"/>
        <v>342558</v>
      </c>
      <c r="Q120" s="203">
        <f t="shared" si="21"/>
        <v>99.999708079484122</v>
      </c>
    </row>
    <row r="121" spans="2:17" x14ac:dyDescent="0.2">
      <c r="B121" s="72">
        <f t="shared" si="20"/>
        <v>113</v>
      </c>
      <c r="C121" s="12"/>
      <c r="D121" s="12"/>
      <c r="E121" s="12"/>
      <c r="F121" s="52" t="s">
        <v>76</v>
      </c>
      <c r="G121" s="12">
        <v>620</v>
      </c>
      <c r="H121" s="12" t="s">
        <v>130</v>
      </c>
      <c r="I121" s="49">
        <f>77350+45330-2100+500</f>
        <v>121080</v>
      </c>
      <c r="J121" s="49">
        <v>121045</v>
      </c>
      <c r="K121" s="198">
        <f t="shared" si="22"/>
        <v>99.971093491906188</v>
      </c>
      <c r="L121" s="49"/>
      <c r="M121" s="49"/>
      <c r="N121" s="214"/>
      <c r="O121" s="49">
        <f t="shared" ref="O121:O156" si="23">I121+L121</f>
        <v>121080</v>
      </c>
      <c r="P121" s="49">
        <f t="shared" ref="P121:P156" si="24">J121+M121</f>
        <v>121045</v>
      </c>
      <c r="Q121" s="203">
        <f t="shared" si="21"/>
        <v>99.971093491906188</v>
      </c>
    </row>
    <row r="122" spans="2:17" x14ac:dyDescent="0.2">
      <c r="B122" s="72">
        <f t="shared" si="20"/>
        <v>114</v>
      </c>
      <c r="C122" s="12"/>
      <c r="D122" s="12"/>
      <c r="E122" s="12"/>
      <c r="F122" s="52" t="s">
        <v>76</v>
      </c>
      <c r="G122" s="12">
        <v>630</v>
      </c>
      <c r="H122" s="12" t="s">
        <v>127</v>
      </c>
      <c r="I122" s="49">
        <f>SUM(I123:I126)</f>
        <v>52263</v>
      </c>
      <c r="J122" s="49">
        <f>SUM(J123:J126)</f>
        <v>47173</v>
      </c>
      <c r="K122" s="198">
        <f t="shared" si="22"/>
        <v>90.260796356887283</v>
      </c>
      <c r="L122" s="49">
        <f>SUM(L123:L126)</f>
        <v>0</v>
      </c>
      <c r="M122" s="49">
        <f>SUM(M123:M126)</f>
        <v>0</v>
      </c>
      <c r="N122" s="214"/>
      <c r="O122" s="49">
        <f t="shared" si="23"/>
        <v>52263</v>
      </c>
      <c r="P122" s="49">
        <f t="shared" si="24"/>
        <v>47173</v>
      </c>
      <c r="Q122" s="203">
        <f t="shared" si="21"/>
        <v>90.260796356887283</v>
      </c>
    </row>
    <row r="123" spans="2:17" x14ac:dyDescent="0.2">
      <c r="B123" s="72">
        <f t="shared" si="20"/>
        <v>115</v>
      </c>
      <c r="C123" s="4"/>
      <c r="D123" s="4"/>
      <c r="E123" s="4"/>
      <c r="F123" s="53" t="s">
        <v>76</v>
      </c>
      <c r="G123" s="4">
        <v>632</v>
      </c>
      <c r="H123" s="4" t="s">
        <v>138</v>
      </c>
      <c r="I123" s="23">
        <v>700</v>
      </c>
      <c r="J123" s="23">
        <v>682</v>
      </c>
      <c r="K123" s="198">
        <f t="shared" si="22"/>
        <v>97.428571428571431</v>
      </c>
      <c r="L123" s="23"/>
      <c r="M123" s="23"/>
      <c r="N123" s="214"/>
      <c r="O123" s="23">
        <f t="shared" si="23"/>
        <v>700</v>
      </c>
      <c r="P123" s="23">
        <f t="shared" si="24"/>
        <v>682</v>
      </c>
      <c r="Q123" s="203">
        <f t="shared" si="21"/>
        <v>97.428571428571431</v>
      </c>
    </row>
    <row r="124" spans="2:17" x14ac:dyDescent="0.2">
      <c r="B124" s="72">
        <f t="shared" si="20"/>
        <v>116</v>
      </c>
      <c r="C124" s="4"/>
      <c r="D124" s="4"/>
      <c r="E124" s="4"/>
      <c r="F124" s="53" t="s">
        <v>76</v>
      </c>
      <c r="G124" s="4">
        <v>633</v>
      </c>
      <c r="H124" s="4" t="s">
        <v>131</v>
      </c>
      <c r="I124" s="23">
        <f>2700+500</f>
        <v>3200</v>
      </c>
      <c r="J124" s="23">
        <v>3200</v>
      </c>
      <c r="K124" s="198">
        <f t="shared" si="22"/>
        <v>100</v>
      </c>
      <c r="L124" s="23"/>
      <c r="M124" s="23"/>
      <c r="N124" s="214"/>
      <c r="O124" s="23">
        <f t="shared" si="23"/>
        <v>3200</v>
      </c>
      <c r="P124" s="23">
        <f t="shared" si="24"/>
        <v>3200</v>
      </c>
      <c r="Q124" s="203">
        <f t="shared" si="21"/>
        <v>100</v>
      </c>
    </row>
    <row r="125" spans="2:17" x14ac:dyDescent="0.2">
      <c r="B125" s="72">
        <f t="shared" si="20"/>
        <v>117</v>
      </c>
      <c r="C125" s="4"/>
      <c r="D125" s="4"/>
      <c r="E125" s="4"/>
      <c r="F125" s="53" t="s">
        <v>76</v>
      </c>
      <c r="G125" s="4">
        <v>634</v>
      </c>
      <c r="H125" s="4" t="s">
        <v>136</v>
      </c>
      <c r="I125" s="23">
        <f>4900+1000</f>
        <v>5900</v>
      </c>
      <c r="J125" s="23">
        <v>5774</v>
      </c>
      <c r="K125" s="198">
        <f t="shared" si="22"/>
        <v>97.86440677966101</v>
      </c>
      <c r="L125" s="23"/>
      <c r="M125" s="23"/>
      <c r="N125" s="214"/>
      <c r="O125" s="23">
        <f t="shared" si="23"/>
        <v>5900</v>
      </c>
      <c r="P125" s="23">
        <f t="shared" si="24"/>
        <v>5774</v>
      </c>
      <c r="Q125" s="203">
        <f t="shared" si="21"/>
        <v>97.86440677966101</v>
      </c>
    </row>
    <row r="126" spans="2:17" x14ac:dyDescent="0.2">
      <c r="B126" s="72">
        <f t="shared" si="20"/>
        <v>118</v>
      </c>
      <c r="C126" s="4"/>
      <c r="D126" s="4"/>
      <c r="E126" s="4"/>
      <c r="F126" s="53" t="s">
        <v>76</v>
      </c>
      <c r="G126" s="4">
        <v>637</v>
      </c>
      <c r="H126" s="4" t="s">
        <v>128</v>
      </c>
      <c r="I126" s="23">
        <f>25020+17443</f>
        <v>42463</v>
      </c>
      <c r="J126" s="23">
        <v>37517</v>
      </c>
      <c r="K126" s="198">
        <f t="shared" si="22"/>
        <v>88.352212514424323</v>
      </c>
      <c r="L126" s="23"/>
      <c r="M126" s="23"/>
      <c r="N126" s="214"/>
      <c r="O126" s="23">
        <f t="shared" si="23"/>
        <v>42463</v>
      </c>
      <c r="P126" s="23">
        <f t="shared" si="24"/>
        <v>37517</v>
      </c>
      <c r="Q126" s="203">
        <f t="shared" si="21"/>
        <v>88.352212514424323</v>
      </c>
    </row>
    <row r="127" spans="2:17" x14ac:dyDescent="0.2">
      <c r="B127" s="72">
        <f t="shared" si="20"/>
        <v>119</v>
      </c>
      <c r="C127" s="12"/>
      <c r="D127" s="12"/>
      <c r="E127" s="12"/>
      <c r="F127" s="52" t="s">
        <v>76</v>
      </c>
      <c r="G127" s="12">
        <v>640</v>
      </c>
      <c r="H127" s="12" t="s">
        <v>134</v>
      </c>
      <c r="I127" s="49">
        <f>2200+300+500+840</f>
        <v>3840</v>
      </c>
      <c r="J127" s="49">
        <v>2500</v>
      </c>
      <c r="K127" s="198">
        <f t="shared" si="22"/>
        <v>65.104166666666657</v>
      </c>
      <c r="L127" s="49"/>
      <c r="M127" s="49"/>
      <c r="N127" s="214"/>
      <c r="O127" s="49">
        <f t="shared" si="23"/>
        <v>3840</v>
      </c>
      <c r="P127" s="49">
        <f t="shared" si="24"/>
        <v>2500</v>
      </c>
      <c r="Q127" s="203">
        <f t="shared" si="21"/>
        <v>65.104166666666657</v>
      </c>
    </row>
    <row r="128" spans="2:17" ht="15" x14ac:dyDescent="0.2">
      <c r="B128" s="72">
        <f t="shared" si="20"/>
        <v>120</v>
      </c>
      <c r="C128" s="179">
        <v>8</v>
      </c>
      <c r="D128" s="257" t="s">
        <v>206</v>
      </c>
      <c r="E128" s="253"/>
      <c r="F128" s="253"/>
      <c r="G128" s="253"/>
      <c r="H128" s="254"/>
      <c r="I128" s="45">
        <f>I129</f>
        <v>5000</v>
      </c>
      <c r="J128" s="45">
        <f>J129</f>
        <v>3360</v>
      </c>
      <c r="K128" s="198">
        <f t="shared" si="22"/>
        <v>67.2</v>
      </c>
      <c r="L128" s="45">
        <f>L129</f>
        <v>0</v>
      </c>
      <c r="M128" s="45">
        <f>M129</f>
        <v>0</v>
      </c>
      <c r="N128" s="216"/>
      <c r="O128" s="45">
        <f t="shared" si="23"/>
        <v>5000</v>
      </c>
      <c r="P128" s="45">
        <f t="shared" si="24"/>
        <v>3360</v>
      </c>
      <c r="Q128" s="203">
        <f t="shared" si="21"/>
        <v>67.2</v>
      </c>
    </row>
    <row r="129" spans="2:17" x14ac:dyDescent="0.2">
      <c r="B129" s="72">
        <f t="shared" si="20"/>
        <v>121</v>
      </c>
      <c r="C129" s="12"/>
      <c r="D129" s="12"/>
      <c r="E129" s="12"/>
      <c r="F129" s="52" t="s">
        <v>149</v>
      </c>
      <c r="G129" s="12">
        <v>630</v>
      </c>
      <c r="H129" s="12" t="s">
        <v>127</v>
      </c>
      <c r="I129" s="49">
        <f>I130</f>
        <v>5000</v>
      </c>
      <c r="J129" s="49">
        <f>J130</f>
        <v>3360</v>
      </c>
      <c r="K129" s="198">
        <f t="shared" si="22"/>
        <v>67.2</v>
      </c>
      <c r="L129" s="49">
        <f>L130</f>
        <v>0</v>
      </c>
      <c r="M129" s="49">
        <f>M130</f>
        <v>0</v>
      </c>
      <c r="N129" s="214"/>
      <c r="O129" s="49">
        <f t="shared" si="23"/>
        <v>5000</v>
      </c>
      <c r="P129" s="49">
        <f t="shared" si="24"/>
        <v>3360</v>
      </c>
      <c r="Q129" s="203">
        <f t="shared" si="21"/>
        <v>67.2</v>
      </c>
    </row>
    <row r="130" spans="2:17" x14ac:dyDescent="0.2">
      <c r="B130" s="72">
        <f t="shared" si="20"/>
        <v>122</v>
      </c>
      <c r="C130" s="4"/>
      <c r="D130" s="4"/>
      <c r="E130" s="4"/>
      <c r="F130" s="53" t="s">
        <v>149</v>
      </c>
      <c r="G130" s="4">
        <v>637</v>
      </c>
      <c r="H130" s="4" t="s">
        <v>128</v>
      </c>
      <c r="I130" s="23">
        <f>2000+1000+2000</f>
        <v>5000</v>
      </c>
      <c r="J130" s="23">
        <v>3360</v>
      </c>
      <c r="K130" s="198">
        <f t="shared" si="22"/>
        <v>67.2</v>
      </c>
      <c r="L130" s="23"/>
      <c r="M130" s="23"/>
      <c r="N130" s="214"/>
      <c r="O130" s="23">
        <f t="shared" si="23"/>
        <v>5000</v>
      </c>
      <c r="P130" s="23">
        <f t="shared" si="24"/>
        <v>3360</v>
      </c>
      <c r="Q130" s="203">
        <f t="shared" si="21"/>
        <v>67.2</v>
      </c>
    </row>
    <row r="131" spans="2:17" ht="15" x14ac:dyDescent="0.2">
      <c r="B131" s="72">
        <f t="shared" si="20"/>
        <v>123</v>
      </c>
      <c r="C131" s="179">
        <v>9</v>
      </c>
      <c r="D131" s="257" t="s">
        <v>181</v>
      </c>
      <c r="E131" s="253"/>
      <c r="F131" s="253"/>
      <c r="G131" s="253"/>
      <c r="H131" s="254"/>
      <c r="I131" s="45">
        <f>I132+I135</f>
        <v>19165</v>
      </c>
      <c r="J131" s="45">
        <f>J132+J135</f>
        <v>13113</v>
      </c>
      <c r="K131" s="198">
        <f t="shared" si="22"/>
        <v>68.421601878424212</v>
      </c>
      <c r="L131" s="45">
        <f>L132+L135</f>
        <v>0</v>
      </c>
      <c r="M131" s="45">
        <f>M132+M135</f>
        <v>0</v>
      </c>
      <c r="N131" s="216"/>
      <c r="O131" s="45">
        <f t="shared" si="23"/>
        <v>19165</v>
      </c>
      <c r="P131" s="45">
        <f t="shared" si="24"/>
        <v>13113</v>
      </c>
      <c r="Q131" s="203">
        <f t="shared" si="21"/>
        <v>68.421601878424212</v>
      </c>
    </row>
    <row r="132" spans="2:17" x14ac:dyDescent="0.2">
      <c r="B132" s="72">
        <f t="shared" si="20"/>
        <v>124</v>
      </c>
      <c r="C132" s="12"/>
      <c r="D132" s="12"/>
      <c r="E132" s="12"/>
      <c r="F132" s="52" t="s">
        <v>75</v>
      </c>
      <c r="G132" s="12">
        <v>630</v>
      </c>
      <c r="H132" s="12" t="s">
        <v>127</v>
      </c>
      <c r="I132" s="49">
        <f>I133+I134</f>
        <v>14165</v>
      </c>
      <c r="J132" s="49">
        <f>J133+J134</f>
        <v>10625</v>
      </c>
      <c r="K132" s="198">
        <f t="shared" si="22"/>
        <v>75.008824567596193</v>
      </c>
      <c r="L132" s="49">
        <f>L133</f>
        <v>0</v>
      </c>
      <c r="M132" s="49">
        <f>M133</f>
        <v>0</v>
      </c>
      <c r="N132" s="214"/>
      <c r="O132" s="49">
        <f t="shared" si="23"/>
        <v>14165</v>
      </c>
      <c r="P132" s="49">
        <f t="shared" si="24"/>
        <v>10625</v>
      </c>
      <c r="Q132" s="203">
        <f t="shared" si="21"/>
        <v>75.008824567596193</v>
      </c>
    </row>
    <row r="133" spans="2:17" x14ac:dyDescent="0.2">
      <c r="B133" s="72">
        <f t="shared" si="20"/>
        <v>125</v>
      </c>
      <c r="C133" s="4"/>
      <c r="D133" s="4"/>
      <c r="E133" s="4"/>
      <c r="F133" s="53" t="s">
        <v>75</v>
      </c>
      <c r="G133" s="4">
        <v>637</v>
      </c>
      <c r="H133" s="4" t="s">
        <v>128</v>
      </c>
      <c r="I133" s="23">
        <f>12000-1000+3000</f>
        <v>14000</v>
      </c>
      <c r="J133" s="23">
        <v>10625</v>
      </c>
      <c r="K133" s="198">
        <f t="shared" si="22"/>
        <v>75.892857142857139</v>
      </c>
      <c r="L133" s="23"/>
      <c r="M133" s="23"/>
      <c r="N133" s="214"/>
      <c r="O133" s="23">
        <f t="shared" si="23"/>
        <v>14000</v>
      </c>
      <c r="P133" s="23">
        <f t="shared" si="24"/>
        <v>10625</v>
      </c>
      <c r="Q133" s="203">
        <f t="shared" si="21"/>
        <v>75.892857142857139</v>
      </c>
    </row>
    <row r="134" spans="2:17" x14ac:dyDescent="0.2">
      <c r="B134" s="72">
        <f t="shared" si="20"/>
        <v>126</v>
      </c>
      <c r="C134" s="4"/>
      <c r="D134" s="4"/>
      <c r="E134" s="4"/>
      <c r="F134" s="53" t="s">
        <v>75</v>
      </c>
      <c r="G134" s="4">
        <v>630</v>
      </c>
      <c r="H134" s="4" t="s">
        <v>602</v>
      </c>
      <c r="I134" s="23">
        <v>165</v>
      </c>
      <c r="J134" s="23"/>
      <c r="K134" s="198">
        <f t="shared" si="22"/>
        <v>0</v>
      </c>
      <c r="L134" s="23"/>
      <c r="M134" s="23"/>
      <c r="N134" s="214"/>
      <c r="O134" s="23">
        <f t="shared" si="23"/>
        <v>165</v>
      </c>
      <c r="P134" s="23">
        <f t="shared" si="24"/>
        <v>0</v>
      </c>
      <c r="Q134" s="203">
        <f t="shared" si="21"/>
        <v>0</v>
      </c>
    </row>
    <row r="135" spans="2:17" x14ac:dyDescent="0.2">
      <c r="B135" s="72">
        <f t="shared" si="20"/>
        <v>127</v>
      </c>
      <c r="C135" s="12"/>
      <c r="D135" s="12"/>
      <c r="E135" s="12"/>
      <c r="F135" s="52" t="s">
        <v>75</v>
      </c>
      <c r="G135" s="12">
        <v>640</v>
      </c>
      <c r="H135" s="12" t="s">
        <v>134</v>
      </c>
      <c r="I135" s="49">
        <f>I136</f>
        <v>5000</v>
      </c>
      <c r="J135" s="49">
        <f>J136</f>
        <v>2488</v>
      </c>
      <c r="K135" s="198">
        <f t="shared" si="22"/>
        <v>49.76</v>
      </c>
      <c r="L135" s="49">
        <f>L136</f>
        <v>0</v>
      </c>
      <c r="M135" s="49">
        <f>M136</f>
        <v>0</v>
      </c>
      <c r="N135" s="214"/>
      <c r="O135" s="49">
        <f t="shared" si="23"/>
        <v>5000</v>
      </c>
      <c r="P135" s="49">
        <f t="shared" si="24"/>
        <v>2488</v>
      </c>
      <c r="Q135" s="203">
        <f t="shared" si="21"/>
        <v>49.76</v>
      </c>
    </row>
    <row r="136" spans="2:17" ht="24" x14ac:dyDescent="0.2">
      <c r="B136" s="72">
        <f t="shared" ref="B136:B156" si="25">B135+1</f>
        <v>128</v>
      </c>
      <c r="C136" s="81"/>
      <c r="D136" s="95"/>
      <c r="E136" s="81"/>
      <c r="F136" s="80"/>
      <c r="G136" s="81"/>
      <c r="H136" s="79" t="s">
        <v>415</v>
      </c>
      <c r="I136" s="65">
        <f>7000-2000</f>
        <v>5000</v>
      </c>
      <c r="J136" s="65">
        <v>2488</v>
      </c>
      <c r="K136" s="198">
        <f t="shared" si="22"/>
        <v>49.76</v>
      </c>
      <c r="L136" s="65"/>
      <c r="M136" s="65"/>
      <c r="N136" s="215"/>
      <c r="O136" s="65">
        <f t="shared" si="23"/>
        <v>5000</v>
      </c>
      <c r="P136" s="65">
        <f t="shared" si="24"/>
        <v>2488</v>
      </c>
      <c r="Q136" s="203">
        <f t="shared" si="21"/>
        <v>49.76</v>
      </c>
    </row>
    <row r="137" spans="2:17" ht="15" x14ac:dyDescent="0.2">
      <c r="B137" s="72">
        <f t="shared" si="25"/>
        <v>129</v>
      </c>
      <c r="C137" s="179">
        <v>10</v>
      </c>
      <c r="D137" s="257" t="s">
        <v>182</v>
      </c>
      <c r="E137" s="253"/>
      <c r="F137" s="253"/>
      <c r="G137" s="253"/>
      <c r="H137" s="254"/>
      <c r="I137" s="45">
        <f>I138</f>
        <v>11925</v>
      </c>
      <c r="J137" s="45">
        <f>J138</f>
        <v>11430</v>
      </c>
      <c r="K137" s="198">
        <f t="shared" si="22"/>
        <v>95.84905660377359</v>
      </c>
      <c r="L137" s="45">
        <f>L138</f>
        <v>0</v>
      </c>
      <c r="M137" s="45">
        <f>M138</f>
        <v>0</v>
      </c>
      <c r="N137" s="216"/>
      <c r="O137" s="45">
        <f t="shared" si="23"/>
        <v>11925</v>
      </c>
      <c r="P137" s="45">
        <f t="shared" si="24"/>
        <v>11430</v>
      </c>
      <c r="Q137" s="203">
        <f t="shared" si="21"/>
        <v>95.84905660377359</v>
      </c>
    </row>
    <row r="138" spans="2:17" ht="15" x14ac:dyDescent="0.25">
      <c r="B138" s="72">
        <f t="shared" si="25"/>
        <v>130</v>
      </c>
      <c r="C138" s="15"/>
      <c r="D138" s="15"/>
      <c r="E138" s="15">
        <v>5</v>
      </c>
      <c r="F138" s="50"/>
      <c r="G138" s="15"/>
      <c r="H138" s="15" t="s">
        <v>265</v>
      </c>
      <c r="I138" s="47">
        <f>I139+I140+I141+I145</f>
        <v>11925</v>
      </c>
      <c r="J138" s="47">
        <f>J139+J140+J141+J145</f>
        <v>11430</v>
      </c>
      <c r="K138" s="198">
        <f t="shared" si="22"/>
        <v>95.84905660377359</v>
      </c>
      <c r="L138" s="47">
        <f>L139+L140+L141+L145</f>
        <v>0</v>
      </c>
      <c r="M138" s="47">
        <f>M139+M140+M141+M145</f>
        <v>0</v>
      </c>
      <c r="N138" s="214"/>
      <c r="O138" s="47">
        <f t="shared" si="23"/>
        <v>11925</v>
      </c>
      <c r="P138" s="47">
        <f t="shared" si="24"/>
        <v>11430</v>
      </c>
      <c r="Q138" s="203">
        <f t="shared" si="21"/>
        <v>95.84905660377359</v>
      </c>
    </row>
    <row r="139" spans="2:17" x14ac:dyDescent="0.2">
      <c r="B139" s="72">
        <f t="shared" si="25"/>
        <v>131</v>
      </c>
      <c r="C139" s="12"/>
      <c r="D139" s="12"/>
      <c r="E139" s="12"/>
      <c r="F139" s="52" t="s">
        <v>76</v>
      </c>
      <c r="G139" s="12">
        <v>610</v>
      </c>
      <c r="H139" s="12" t="s">
        <v>135</v>
      </c>
      <c r="I139" s="49">
        <v>6705</v>
      </c>
      <c r="J139" s="49">
        <v>6574</v>
      </c>
      <c r="K139" s="198">
        <f t="shared" si="22"/>
        <v>98.046234153616709</v>
      </c>
      <c r="L139" s="49"/>
      <c r="M139" s="49"/>
      <c r="N139" s="214"/>
      <c r="O139" s="49">
        <f t="shared" si="23"/>
        <v>6705</v>
      </c>
      <c r="P139" s="49">
        <f t="shared" si="24"/>
        <v>6574</v>
      </c>
      <c r="Q139" s="203">
        <f t="shared" si="21"/>
        <v>98.046234153616709</v>
      </c>
    </row>
    <row r="140" spans="2:17" x14ac:dyDescent="0.2">
      <c r="B140" s="72">
        <f t="shared" si="25"/>
        <v>132</v>
      </c>
      <c r="C140" s="12"/>
      <c r="D140" s="12"/>
      <c r="E140" s="12"/>
      <c r="F140" s="52" t="s">
        <v>76</v>
      </c>
      <c r="G140" s="12">
        <v>620</v>
      </c>
      <c r="H140" s="12" t="s">
        <v>130</v>
      </c>
      <c r="I140" s="49">
        <f>2350-300</f>
        <v>2050</v>
      </c>
      <c r="J140" s="49">
        <v>1923</v>
      </c>
      <c r="K140" s="198">
        <f t="shared" si="22"/>
        <v>93.804878048780481</v>
      </c>
      <c r="L140" s="49"/>
      <c r="M140" s="49"/>
      <c r="N140" s="214"/>
      <c r="O140" s="49">
        <f t="shared" si="23"/>
        <v>2050</v>
      </c>
      <c r="P140" s="49">
        <f t="shared" si="24"/>
        <v>1923</v>
      </c>
      <c r="Q140" s="203">
        <f t="shared" si="21"/>
        <v>93.804878048780481</v>
      </c>
    </row>
    <row r="141" spans="2:17" x14ac:dyDescent="0.2">
      <c r="B141" s="72">
        <f t="shared" si="25"/>
        <v>133</v>
      </c>
      <c r="C141" s="12"/>
      <c r="D141" s="12"/>
      <c r="E141" s="12"/>
      <c r="F141" s="52" t="s">
        <v>76</v>
      </c>
      <c r="G141" s="12">
        <v>630</v>
      </c>
      <c r="H141" s="12" t="s">
        <v>127</v>
      </c>
      <c r="I141" s="49">
        <f>I144+I143+I142</f>
        <v>3140</v>
      </c>
      <c r="J141" s="49">
        <f>J144+J143+J142</f>
        <v>2933</v>
      </c>
      <c r="K141" s="198">
        <f t="shared" si="22"/>
        <v>93.407643312101911</v>
      </c>
      <c r="L141" s="49">
        <v>0</v>
      </c>
      <c r="M141" s="49"/>
      <c r="N141" s="214"/>
      <c r="O141" s="49">
        <f t="shared" si="23"/>
        <v>3140</v>
      </c>
      <c r="P141" s="49">
        <f t="shared" si="24"/>
        <v>2933</v>
      </c>
      <c r="Q141" s="203">
        <f t="shared" si="21"/>
        <v>93.407643312101911</v>
      </c>
    </row>
    <row r="142" spans="2:17" x14ac:dyDescent="0.2">
      <c r="B142" s="72">
        <f t="shared" si="25"/>
        <v>134</v>
      </c>
      <c r="C142" s="4"/>
      <c r="D142" s="4"/>
      <c r="E142" s="4"/>
      <c r="F142" s="53" t="s">
        <v>76</v>
      </c>
      <c r="G142" s="4">
        <v>632</v>
      </c>
      <c r="H142" s="4" t="s">
        <v>138</v>
      </c>
      <c r="I142" s="23">
        <v>70</v>
      </c>
      <c r="J142" s="23">
        <v>23</v>
      </c>
      <c r="K142" s="198">
        <f t="shared" si="22"/>
        <v>32.857142857142854</v>
      </c>
      <c r="L142" s="23"/>
      <c r="M142" s="23"/>
      <c r="N142" s="214"/>
      <c r="O142" s="23">
        <f t="shared" si="23"/>
        <v>70</v>
      </c>
      <c r="P142" s="23">
        <f t="shared" si="24"/>
        <v>23</v>
      </c>
      <c r="Q142" s="203">
        <f t="shared" si="21"/>
        <v>32.857142857142854</v>
      </c>
    </row>
    <row r="143" spans="2:17" x14ac:dyDescent="0.2">
      <c r="B143" s="72">
        <f t="shared" si="25"/>
        <v>135</v>
      </c>
      <c r="C143" s="4"/>
      <c r="D143" s="4"/>
      <c r="E143" s="4"/>
      <c r="F143" s="53" t="s">
        <v>76</v>
      </c>
      <c r="G143" s="4">
        <v>634</v>
      </c>
      <c r="H143" s="4" t="s">
        <v>136</v>
      </c>
      <c r="I143" s="23">
        <v>2400</v>
      </c>
      <c r="J143" s="23">
        <v>2379</v>
      </c>
      <c r="K143" s="198">
        <f t="shared" si="22"/>
        <v>99.125</v>
      </c>
      <c r="L143" s="23"/>
      <c r="M143" s="23"/>
      <c r="N143" s="214"/>
      <c r="O143" s="23">
        <f t="shared" si="23"/>
        <v>2400</v>
      </c>
      <c r="P143" s="23">
        <f t="shared" si="24"/>
        <v>2379</v>
      </c>
      <c r="Q143" s="203">
        <f t="shared" si="21"/>
        <v>99.125</v>
      </c>
    </row>
    <row r="144" spans="2:17" x14ac:dyDescent="0.2">
      <c r="B144" s="72">
        <f t="shared" si="25"/>
        <v>136</v>
      </c>
      <c r="C144" s="4"/>
      <c r="D144" s="4"/>
      <c r="E144" s="4"/>
      <c r="F144" s="53" t="s">
        <v>76</v>
      </c>
      <c r="G144" s="4">
        <v>637</v>
      </c>
      <c r="H144" s="4" t="s">
        <v>128</v>
      </c>
      <c r="I144" s="23">
        <v>670</v>
      </c>
      <c r="J144" s="23">
        <v>531</v>
      </c>
      <c r="K144" s="198">
        <f t="shared" si="22"/>
        <v>79.25373134328359</v>
      </c>
      <c r="L144" s="23"/>
      <c r="M144" s="23"/>
      <c r="N144" s="214"/>
      <c r="O144" s="23">
        <f t="shared" si="23"/>
        <v>670</v>
      </c>
      <c r="P144" s="23">
        <f t="shared" si="24"/>
        <v>531</v>
      </c>
      <c r="Q144" s="203">
        <f t="shared" si="21"/>
        <v>79.25373134328359</v>
      </c>
    </row>
    <row r="145" spans="2:17" x14ac:dyDescent="0.2">
      <c r="B145" s="72">
        <f t="shared" si="25"/>
        <v>137</v>
      </c>
      <c r="C145" s="12"/>
      <c r="D145" s="12"/>
      <c r="E145" s="12"/>
      <c r="F145" s="52" t="s">
        <v>76</v>
      </c>
      <c r="G145" s="12">
        <v>640</v>
      </c>
      <c r="H145" s="12" t="s">
        <v>134</v>
      </c>
      <c r="I145" s="49">
        <v>30</v>
      </c>
      <c r="J145" s="49"/>
      <c r="K145" s="198">
        <f t="shared" si="22"/>
        <v>0</v>
      </c>
      <c r="L145" s="49"/>
      <c r="M145" s="49"/>
      <c r="N145" s="214"/>
      <c r="O145" s="49">
        <f t="shared" si="23"/>
        <v>30</v>
      </c>
      <c r="P145" s="49">
        <f t="shared" si="24"/>
        <v>0</v>
      </c>
      <c r="Q145" s="203">
        <f t="shared" si="21"/>
        <v>0</v>
      </c>
    </row>
    <row r="146" spans="2:17" ht="15" x14ac:dyDescent="0.2">
      <c r="B146" s="72">
        <f t="shared" si="25"/>
        <v>138</v>
      </c>
      <c r="C146" s="179">
        <v>11</v>
      </c>
      <c r="D146" s="257" t="s">
        <v>70</v>
      </c>
      <c r="E146" s="253"/>
      <c r="F146" s="253"/>
      <c r="G146" s="253"/>
      <c r="H146" s="254"/>
      <c r="I146" s="45">
        <f>I147</f>
        <v>148946</v>
      </c>
      <c r="J146" s="45">
        <f>J147</f>
        <v>147011</v>
      </c>
      <c r="K146" s="198">
        <f t="shared" si="22"/>
        <v>98.700871456769562</v>
      </c>
      <c r="L146" s="45">
        <f>L147</f>
        <v>0</v>
      </c>
      <c r="M146" s="45">
        <f>M147</f>
        <v>0</v>
      </c>
      <c r="N146" s="216"/>
      <c r="O146" s="45">
        <f t="shared" si="23"/>
        <v>148946</v>
      </c>
      <c r="P146" s="45">
        <f t="shared" si="24"/>
        <v>147011</v>
      </c>
      <c r="Q146" s="203">
        <f t="shared" si="21"/>
        <v>98.700871456769562</v>
      </c>
    </row>
    <row r="147" spans="2:17" ht="15" x14ac:dyDescent="0.25">
      <c r="B147" s="72">
        <f t="shared" si="25"/>
        <v>139</v>
      </c>
      <c r="C147" s="15"/>
      <c r="D147" s="15"/>
      <c r="E147" s="15">
        <v>5</v>
      </c>
      <c r="F147" s="50"/>
      <c r="G147" s="15"/>
      <c r="H147" s="15" t="s">
        <v>265</v>
      </c>
      <c r="I147" s="47">
        <f>I148+I149+I150</f>
        <v>148946</v>
      </c>
      <c r="J147" s="47">
        <f>J148+J149+J150</f>
        <v>147011</v>
      </c>
      <c r="K147" s="198">
        <f t="shared" si="22"/>
        <v>98.700871456769562</v>
      </c>
      <c r="L147" s="47">
        <v>0</v>
      </c>
      <c r="M147" s="47"/>
      <c r="N147" s="214"/>
      <c r="O147" s="47">
        <f t="shared" si="23"/>
        <v>148946</v>
      </c>
      <c r="P147" s="47">
        <f t="shared" si="24"/>
        <v>147011</v>
      </c>
      <c r="Q147" s="203">
        <f t="shared" si="21"/>
        <v>98.700871456769562</v>
      </c>
    </row>
    <row r="148" spans="2:17" x14ac:dyDescent="0.2">
      <c r="B148" s="72">
        <f t="shared" si="25"/>
        <v>140</v>
      </c>
      <c r="C148" s="12"/>
      <c r="D148" s="12"/>
      <c r="E148" s="12"/>
      <c r="F148" s="52" t="s">
        <v>251</v>
      </c>
      <c r="G148" s="12">
        <v>610</v>
      </c>
      <c r="H148" s="12" t="s">
        <v>135</v>
      </c>
      <c r="I148" s="49">
        <f>79485+4500+1900</f>
        <v>85885</v>
      </c>
      <c r="J148" s="49">
        <v>85885</v>
      </c>
      <c r="K148" s="198">
        <f t="shared" si="22"/>
        <v>100</v>
      </c>
      <c r="L148" s="49"/>
      <c r="M148" s="49"/>
      <c r="N148" s="214"/>
      <c r="O148" s="49">
        <f t="shared" si="23"/>
        <v>85885</v>
      </c>
      <c r="P148" s="49">
        <f t="shared" si="24"/>
        <v>85885</v>
      </c>
      <c r="Q148" s="203">
        <f t="shared" si="21"/>
        <v>100</v>
      </c>
    </row>
    <row r="149" spans="2:17" x14ac:dyDescent="0.2">
      <c r="B149" s="72">
        <f t="shared" si="25"/>
        <v>141</v>
      </c>
      <c r="C149" s="12"/>
      <c r="D149" s="12"/>
      <c r="E149" s="12"/>
      <c r="F149" s="52" t="s">
        <v>251</v>
      </c>
      <c r="G149" s="12">
        <v>620</v>
      </c>
      <c r="H149" s="12" t="s">
        <v>130</v>
      </c>
      <c r="I149" s="49">
        <f>27820+3090+3000</f>
        <v>33910</v>
      </c>
      <c r="J149" s="49">
        <v>33908</v>
      </c>
      <c r="K149" s="198">
        <f t="shared" si="22"/>
        <v>99.99410203479799</v>
      </c>
      <c r="L149" s="49"/>
      <c r="M149" s="49"/>
      <c r="N149" s="214"/>
      <c r="O149" s="49">
        <f t="shared" si="23"/>
        <v>33910</v>
      </c>
      <c r="P149" s="49">
        <f t="shared" si="24"/>
        <v>33908</v>
      </c>
      <c r="Q149" s="203">
        <f t="shared" si="21"/>
        <v>99.99410203479799</v>
      </c>
    </row>
    <row r="150" spans="2:17" x14ac:dyDescent="0.2">
      <c r="B150" s="72">
        <f t="shared" si="25"/>
        <v>142</v>
      </c>
      <c r="C150" s="12"/>
      <c r="D150" s="12"/>
      <c r="E150" s="12"/>
      <c r="F150" s="52" t="s">
        <v>251</v>
      </c>
      <c r="G150" s="12">
        <v>630</v>
      </c>
      <c r="H150" s="12" t="s">
        <v>127</v>
      </c>
      <c r="I150" s="49">
        <f>I156+I155+I154+I153+I152+I151</f>
        <v>29151</v>
      </c>
      <c r="J150" s="49">
        <f>J156+J155+J154+J153+J152+J151</f>
        <v>27218</v>
      </c>
      <c r="K150" s="198">
        <f t="shared" si="22"/>
        <v>93.369009639463485</v>
      </c>
      <c r="L150" s="49">
        <f>L156+L155+L154+L153+L152+L151</f>
        <v>0</v>
      </c>
      <c r="M150" s="49">
        <f>M156+M155+M154+M153+M152+M151</f>
        <v>0</v>
      </c>
      <c r="N150" s="214"/>
      <c r="O150" s="49">
        <f t="shared" si="23"/>
        <v>29151</v>
      </c>
      <c r="P150" s="49">
        <f t="shared" si="24"/>
        <v>27218</v>
      </c>
      <c r="Q150" s="203">
        <f t="shared" si="21"/>
        <v>93.369009639463485</v>
      </c>
    </row>
    <row r="151" spans="2:17" x14ac:dyDescent="0.2">
      <c r="B151" s="72">
        <f t="shared" si="25"/>
        <v>143</v>
      </c>
      <c r="C151" s="4"/>
      <c r="D151" s="4"/>
      <c r="E151" s="4"/>
      <c r="F151" s="53" t="s">
        <v>251</v>
      </c>
      <c r="G151" s="4">
        <v>631</v>
      </c>
      <c r="H151" s="4" t="s">
        <v>133</v>
      </c>
      <c r="I151" s="23">
        <v>300</v>
      </c>
      <c r="J151" s="23">
        <v>50</v>
      </c>
      <c r="K151" s="198">
        <f t="shared" si="22"/>
        <v>16.666666666666664</v>
      </c>
      <c r="L151" s="23"/>
      <c r="M151" s="23"/>
      <c r="N151" s="214"/>
      <c r="O151" s="23">
        <f t="shared" si="23"/>
        <v>300</v>
      </c>
      <c r="P151" s="23">
        <f t="shared" si="24"/>
        <v>50</v>
      </c>
      <c r="Q151" s="203">
        <f t="shared" si="21"/>
        <v>16.666666666666664</v>
      </c>
    </row>
    <row r="152" spans="2:17" x14ac:dyDescent="0.2">
      <c r="B152" s="72">
        <f t="shared" si="25"/>
        <v>144</v>
      </c>
      <c r="C152" s="4"/>
      <c r="D152" s="4"/>
      <c r="E152" s="4"/>
      <c r="F152" s="53" t="s">
        <v>251</v>
      </c>
      <c r="G152" s="4">
        <v>632</v>
      </c>
      <c r="H152" s="4" t="s">
        <v>138</v>
      </c>
      <c r="I152" s="23">
        <v>2300</v>
      </c>
      <c r="J152" s="23">
        <v>2070</v>
      </c>
      <c r="K152" s="198">
        <f t="shared" si="22"/>
        <v>90</v>
      </c>
      <c r="L152" s="23"/>
      <c r="M152" s="23"/>
      <c r="N152" s="214"/>
      <c r="O152" s="23">
        <f t="shared" si="23"/>
        <v>2300</v>
      </c>
      <c r="P152" s="23">
        <f t="shared" si="24"/>
        <v>2070</v>
      </c>
      <c r="Q152" s="203">
        <f t="shared" si="21"/>
        <v>90</v>
      </c>
    </row>
    <row r="153" spans="2:17" x14ac:dyDescent="0.2">
      <c r="B153" s="72">
        <f t="shared" si="25"/>
        <v>145</v>
      </c>
      <c r="C153" s="4"/>
      <c r="D153" s="4"/>
      <c r="E153" s="4"/>
      <c r="F153" s="53" t="s">
        <v>251</v>
      </c>
      <c r="G153" s="4">
        <v>633</v>
      </c>
      <c r="H153" s="4" t="s">
        <v>131</v>
      </c>
      <c r="I153" s="23">
        <v>3160</v>
      </c>
      <c r="J153" s="23">
        <v>3144</v>
      </c>
      <c r="K153" s="198">
        <f t="shared" si="22"/>
        <v>99.493670886075947</v>
      </c>
      <c r="L153" s="23"/>
      <c r="M153" s="23"/>
      <c r="N153" s="214"/>
      <c r="O153" s="23">
        <f t="shared" si="23"/>
        <v>3160</v>
      </c>
      <c r="P153" s="23">
        <f t="shared" si="24"/>
        <v>3144</v>
      </c>
      <c r="Q153" s="203">
        <f t="shared" si="21"/>
        <v>99.493670886075947</v>
      </c>
    </row>
    <row r="154" spans="2:17" x14ac:dyDescent="0.2">
      <c r="B154" s="72">
        <f t="shared" si="25"/>
        <v>146</v>
      </c>
      <c r="C154" s="4"/>
      <c r="D154" s="4"/>
      <c r="E154" s="4"/>
      <c r="F154" s="53" t="s">
        <v>251</v>
      </c>
      <c r="G154" s="4">
        <v>634</v>
      </c>
      <c r="H154" s="4" t="s">
        <v>136</v>
      </c>
      <c r="I154" s="23">
        <f>543+145+300+110</f>
        <v>1098</v>
      </c>
      <c r="J154" s="23">
        <v>1093</v>
      </c>
      <c r="K154" s="198">
        <f t="shared" si="22"/>
        <v>99.544626593806925</v>
      </c>
      <c r="L154" s="23"/>
      <c r="M154" s="23"/>
      <c r="N154" s="214"/>
      <c r="O154" s="23">
        <f t="shared" si="23"/>
        <v>1098</v>
      </c>
      <c r="P154" s="23">
        <f t="shared" si="24"/>
        <v>1093</v>
      </c>
      <c r="Q154" s="203">
        <f t="shared" si="21"/>
        <v>99.544626593806925</v>
      </c>
    </row>
    <row r="155" spans="2:17" x14ac:dyDescent="0.2">
      <c r="B155" s="72">
        <f t="shared" si="25"/>
        <v>147</v>
      </c>
      <c r="C155" s="4"/>
      <c r="D155" s="4"/>
      <c r="E155" s="4"/>
      <c r="F155" s="53" t="s">
        <v>251</v>
      </c>
      <c r="G155" s="4">
        <v>635</v>
      </c>
      <c r="H155" s="4" t="s">
        <v>137</v>
      </c>
      <c r="I155" s="23">
        <v>1600</v>
      </c>
      <c r="J155" s="23">
        <v>294</v>
      </c>
      <c r="K155" s="198">
        <f t="shared" si="22"/>
        <v>18.375</v>
      </c>
      <c r="L155" s="23"/>
      <c r="M155" s="23"/>
      <c r="N155" s="214"/>
      <c r="O155" s="23">
        <f t="shared" si="23"/>
        <v>1600</v>
      </c>
      <c r="P155" s="23">
        <f t="shared" si="24"/>
        <v>294</v>
      </c>
      <c r="Q155" s="203">
        <f t="shared" si="21"/>
        <v>18.375</v>
      </c>
    </row>
    <row r="156" spans="2:17" x14ac:dyDescent="0.2">
      <c r="B156" s="72">
        <f t="shared" si="25"/>
        <v>148</v>
      </c>
      <c r="C156" s="4"/>
      <c r="D156" s="4"/>
      <c r="E156" s="4"/>
      <c r="F156" s="53" t="s">
        <v>251</v>
      </c>
      <c r="G156" s="4">
        <v>637</v>
      </c>
      <c r="H156" s="4" t="s">
        <v>128</v>
      </c>
      <c r="I156" s="23">
        <f>20172+521</f>
        <v>20693</v>
      </c>
      <c r="J156" s="23">
        <v>20567</v>
      </c>
      <c r="K156" s="198">
        <f t="shared" si="22"/>
        <v>99.391098439085681</v>
      </c>
      <c r="L156" s="23"/>
      <c r="M156" s="23"/>
      <c r="N156" s="214"/>
      <c r="O156" s="23">
        <f t="shared" si="23"/>
        <v>20693</v>
      </c>
      <c r="P156" s="23">
        <f t="shared" si="24"/>
        <v>20567</v>
      </c>
      <c r="Q156" s="203">
        <f t="shared" si="21"/>
        <v>99.391098439085681</v>
      </c>
    </row>
  </sheetData>
  <mergeCells count="33">
    <mergeCell ref="N5:N8"/>
    <mergeCell ref="B3:O3"/>
    <mergeCell ref="O4:O8"/>
    <mergeCell ref="B5:B8"/>
    <mergeCell ref="C5:C8"/>
    <mergeCell ref="D5:D8"/>
    <mergeCell ref="E5:E8"/>
    <mergeCell ref="F5:F8"/>
    <mergeCell ref="G5:G8"/>
    <mergeCell ref="H5:H8"/>
    <mergeCell ref="I5:I8"/>
    <mergeCell ref="B4:N4"/>
    <mergeCell ref="D51:H51"/>
    <mergeCell ref="L5:L8"/>
    <mergeCell ref="J5:J8"/>
    <mergeCell ref="K5:K8"/>
    <mergeCell ref="M5:M8"/>
    <mergeCell ref="D131:H131"/>
    <mergeCell ref="D137:H137"/>
    <mergeCell ref="D146:H146"/>
    <mergeCell ref="P4:P8"/>
    <mergeCell ref="Q4:Q8"/>
    <mergeCell ref="E52:H52"/>
    <mergeCell ref="E70:H70"/>
    <mergeCell ref="E86:H86"/>
    <mergeCell ref="D97:H97"/>
    <mergeCell ref="D118:H118"/>
    <mergeCell ref="D128:H128"/>
    <mergeCell ref="C9:H9"/>
    <mergeCell ref="D10:H10"/>
    <mergeCell ref="D24:H24"/>
    <mergeCell ref="D26:H26"/>
    <mergeCell ref="D41:H4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24"/>
  <sheetViews>
    <sheetView zoomScale="90" zoomScaleNormal="90" workbookViewId="0"/>
  </sheetViews>
  <sheetFormatPr defaultRowHeight="12.75" x14ac:dyDescent="0.2"/>
  <cols>
    <col min="1" max="1" width="6.140625" style="17" customWidth="1"/>
    <col min="2" max="2" width="4.85546875" style="70" customWidth="1"/>
    <col min="3" max="3" width="5" customWidth="1"/>
    <col min="4" max="4" width="2.7109375" customWidth="1"/>
    <col min="5" max="5" width="6.28515625" customWidth="1"/>
    <col min="6" max="6" width="7.140625" style="16" customWidth="1"/>
    <col min="7" max="7" width="4.42578125" customWidth="1"/>
    <col min="8" max="8" width="44" customWidth="1"/>
    <col min="9" max="10" width="14.42578125" style="18" customWidth="1"/>
    <col min="11" max="11" width="8" style="186" customWidth="1"/>
    <col min="12" max="13" width="13.28515625" style="18" customWidth="1"/>
    <col min="14" max="14" width="7.85546875" style="186" customWidth="1"/>
    <col min="15" max="15" width="14.28515625" style="18" customWidth="1"/>
    <col min="16" max="16" width="11" customWidth="1"/>
    <col min="17" max="17" width="7.7109375" customWidth="1"/>
  </cols>
  <sheetData>
    <row r="1" spans="2:17" ht="12.75" customHeight="1" x14ac:dyDescent="0.2"/>
    <row r="2" spans="2:17" ht="33.75" customHeight="1" x14ac:dyDescent="0.35">
      <c r="B2" s="264" t="s">
        <v>310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2:17" x14ac:dyDescent="0.2">
      <c r="B3" s="282" t="s">
        <v>280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61" t="s">
        <v>575</v>
      </c>
      <c r="P3" s="250" t="s">
        <v>768</v>
      </c>
      <c r="Q3" s="276" t="s">
        <v>765</v>
      </c>
    </row>
    <row r="4" spans="2:17" ht="18" customHeight="1" x14ac:dyDescent="0.2">
      <c r="B4" s="266" t="s">
        <v>111</v>
      </c>
      <c r="C4" s="255" t="s">
        <v>119</v>
      </c>
      <c r="D4" s="255" t="s">
        <v>120</v>
      </c>
      <c r="E4" s="258" t="s">
        <v>124</v>
      </c>
      <c r="F4" s="255" t="s">
        <v>121</v>
      </c>
      <c r="G4" s="255" t="s">
        <v>122</v>
      </c>
      <c r="H4" s="273" t="s">
        <v>123</v>
      </c>
      <c r="I4" s="261" t="s">
        <v>572</v>
      </c>
      <c r="J4" s="250" t="s">
        <v>766</v>
      </c>
      <c r="K4" s="276" t="s">
        <v>765</v>
      </c>
      <c r="L4" s="261" t="s">
        <v>573</v>
      </c>
      <c r="M4" s="250" t="s">
        <v>767</v>
      </c>
      <c r="N4" s="276" t="s">
        <v>765</v>
      </c>
      <c r="O4" s="262"/>
      <c r="P4" s="250"/>
      <c r="Q4" s="276"/>
    </row>
    <row r="5" spans="2:17" ht="19.5" customHeight="1" x14ac:dyDescent="0.2">
      <c r="B5" s="266"/>
      <c r="C5" s="255"/>
      <c r="D5" s="255"/>
      <c r="E5" s="259"/>
      <c r="F5" s="255"/>
      <c r="G5" s="255"/>
      <c r="H5" s="273"/>
      <c r="I5" s="262"/>
      <c r="J5" s="250"/>
      <c r="K5" s="276"/>
      <c r="L5" s="262"/>
      <c r="M5" s="250"/>
      <c r="N5" s="276"/>
      <c r="O5" s="262"/>
      <c r="P5" s="250"/>
      <c r="Q5" s="276"/>
    </row>
    <row r="6" spans="2:17" x14ac:dyDescent="0.2">
      <c r="B6" s="266"/>
      <c r="C6" s="255"/>
      <c r="D6" s="255"/>
      <c r="E6" s="259"/>
      <c r="F6" s="255"/>
      <c r="G6" s="255"/>
      <c r="H6" s="273"/>
      <c r="I6" s="262"/>
      <c r="J6" s="250"/>
      <c r="K6" s="276"/>
      <c r="L6" s="262"/>
      <c r="M6" s="250"/>
      <c r="N6" s="276"/>
      <c r="O6" s="262"/>
      <c r="P6" s="250"/>
      <c r="Q6" s="276"/>
    </row>
    <row r="7" spans="2:17" ht="13.5" thickBot="1" x14ac:dyDescent="0.25">
      <c r="B7" s="267"/>
      <c r="C7" s="256"/>
      <c r="D7" s="256"/>
      <c r="E7" s="260"/>
      <c r="F7" s="256"/>
      <c r="G7" s="256"/>
      <c r="H7" s="274"/>
      <c r="I7" s="263"/>
      <c r="J7" s="250"/>
      <c r="K7" s="276"/>
      <c r="L7" s="263"/>
      <c r="M7" s="250"/>
      <c r="N7" s="276"/>
      <c r="O7" s="263"/>
      <c r="P7" s="250"/>
      <c r="Q7" s="276"/>
    </row>
    <row r="8" spans="2:17" ht="16.5" thickTop="1" x14ac:dyDescent="0.2">
      <c r="B8" s="72">
        <f t="shared" ref="B8:B23" si="0">B7+1</f>
        <v>1</v>
      </c>
      <c r="C8" s="268" t="s">
        <v>310</v>
      </c>
      <c r="D8" s="269"/>
      <c r="E8" s="269"/>
      <c r="F8" s="269"/>
      <c r="G8" s="269"/>
      <c r="H8" s="270"/>
      <c r="I8" s="44">
        <f>I9</f>
        <v>162700</v>
      </c>
      <c r="J8" s="44">
        <f>J9</f>
        <v>149378</v>
      </c>
      <c r="K8" s="198">
        <f t="shared" ref="K8:K23" si="1">J8/I8*100</f>
        <v>91.811923786109404</v>
      </c>
      <c r="L8" s="44">
        <f>L9</f>
        <v>0</v>
      </c>
      <c r="M8" s="44">
        <f>M9</f>
        <v>0</v>
      </c>
      <c r="N8" s="187"/>
      <c r="O8" s="44">
        <f>I8+L8</f>
        <v>162700</v>
      </c>
      <c r="P8" s="44">
        <f>J8+M8</f>
        <v>149378</v>
      </c>
      <c r="Q8" s="203">
        <f t="shared" ref="Q8:Q23" si="2">P8/O8*100</f>
        <v>91.811923786109404</v>
      </c>
    </row>
    <row r="9" spans="2:17" ht="15" x14ac:dyDescent="0.2">
      <c r="B9" s="72">
        <f t="shared" si="0"/>
        <v>2</v>
      </c>
      <c r="C9" s="179">
        <v>1</v>
      </c>
      <c r="D9" s="257" t="s">
        <v>160</v>
      </c>
      <c r="E9" s="253"/>
      <c r="F9" s="253"/>
      <c r="G9" s="253"/>
      <c r="H9" s="254"/>
      <c r="I9" s="45">
        <f>I15+I10</f>
        <v>162700</v>
      </c>
      <c r="J9" s="45">
        <f>J15+J10</f>
        <v>149378</v>
      </c>
      <c r="K9" s="198">
        <f t="shared" si="1"/>
        <v>91.811923786109404</v>
      </c>
      <c r="L9" s="45">
        <f>L15+L10</f>
        <v>0</v>
      </c>
      <c r="M9" s="45">
        <f>M15+M10</f>
        <v>0</v>
      </c>
      <c r="N9" s="188"/>
      <c r="O9" s="45">
        <f>O15+O10</f>
        <v>162700</v>
      </c>
      <c r="P9" s="45">
        <f>P15+P10</f>
        <v>149378</v>
      </c>
      <c r="Q9" s="203">
        <f t="shared" si="2"/>
        <v>91.811923786109404</v>
      </c>
    </row>
    <row r="10" spans="2:17" ht="15" x14ac:dyDescent="0.25">
      <c r="B10" s="72">
        <f t="shared" si="0"/>
        <v>3</v>
      </c>
      <c r="C10" s="178"/>
      <c r="D10" s="178">
        <v>1</v>
      </c>
      <c r="E10" s="252" t="s">
        <v>159</v>
      </c>
      <c r="F10" s="253"/>
      <c r="G10" s="253"/>
      <c r="H10" s="254"/>
      <c r="I10" s="46">
        <f>I11+I13</f>
        <v>129000</v>
      </c>
      <c r="J10" s="46">
        <f>J11+J13</f>
        <v>125385</v>
      </c>
      <c r="K10" s="198">
        <f t="shared" si="1"/>
        <v>97.197674418604649</v>
      </c>
      <c r="L10" s="46">
        <f>L11+L13</f>
        <v>0</v>
      </c>
      <c r="M10" s="46">
        <f>M11+M13</f>
        <v>0</v>
      </c>
      <c r="N10" s="189"/>
      <c r="O10" s="46">
        <f t="shared" ref="O10:O23" si="3">I10+L10</f>
        <v>129000</v>
      </c>
      <c r="P10" s="46">
        <f t="shared" ref="P10:P23" si="4">J10+M10</f>
        <v>125385</v>
      </c>
      <c r="Q10" s="203">
        <f t="shared" si="2"/>
        <v>97.197674418604649</v>
      </c>
    </row>
    <row r="11" spans="2:17" x14ac:dyDescent="0.2">
      <c r="B11" s="72">
        <f t="shared" si="0"/>
        <v>4</v>
      </c>
      <c r="C11" s="12"/>
      <c r="D11" s="12"/>
      <c r="E11" s="12"/>
      <c r="F11" s="52" t="s">
        <v>158</v>
      </c>
      <c r="G11" s="12">
        <v>630</v>
      </c>
      <c r="H11" s="12" t="s">
        <v>127</v>
      </c>
      <c r="I11" s="49">
        <f>I12</f>
        <v>99000</v>
      </c>
      <c r="J11" s="49">
        <f>J12</f>
        <v>96335</v>
      </c>
      <c r="K11" s="198">
        <f t="shared" si="1"/>
        <v>97.308080808080817</v>
      </c>
      <c r="L11" s="49">
        <f>L12</f>
        <v>0</v>
      </c>
      <c r="M11" s="49">
        <f>M12</f>
        <v>0</v>
      </c>
      <c r="N11" s="113"/>
      <c r="O11" s="49">
        <f t="shared" si="3"/>
        <v>99000</v>
      </c>
      <c r="P11" s="49">
        <f t="shared" si="4"/>
        <v>96335</v>
      </c>
      <c r="Q11" s="203">
        <f t="shared" si="2"/>
        <v>97.308080808080817</v>
      </c>
    </row>
    <row r="12" spans="2:17" x14ac:dyDescent="0.2">
      <c r="B12" s="72">
        <f t="shared" si="0"/>
        <v>5</v>
      </c>
      <c r="C12" s="4"/>
      <c r="D12" s="4"/>
      <c r="E12" s="4"/>
      <c r="F12" s="53" t="s">
        <v>158</v>
      </c>
      <c r="G12" s="4">
        <v>637</v>
      </c>
      <c r="H12" s="4" t="s">
        <v>128</v>
      </c>
      <c r="I12" s="23">
        <f>95000+4000</f>
        <v>99000</v>
      </c>
      <c r="J12" s="23">
        <v>96335</v>
      </c>
      <c r="K12" s="198">
        <f t="shared" si="1"/>
        <v>97.308080808080817</v>
      </c>
      <c r="L12" s="23"/>
      <c r="M12" s="23"/>
      <c r="N12" s="73"/>
      <c r="O12" s="23">
        <f t="shared" si="3"/>
        <v>99000</v>
      </c>
      <c r="P12" s="23">
        <f t="shared" si="4"/>
        <v>96335</v>
      </c>
      <c r="Q12" s="203">
        <f t="shared" si="2"/>
        <v>97.308080808080817</v>
      </c>
    </row>
    <row r="13" spans="2:17" x14ac:dyDescent="0.2">
      <c r="B13" s="72">
        <f t="shared" si="0"/>
        <v>6</v>
      </c>
      <c r="C13" s="12"/>
      <c r="D13" s="12"/>
      <c r="E13" s="12"/>
      <c r="F13" s="52" t="s">
        <v>158</v>
      </c>
      <c r="G13" s="12">
        <v>640</v>
      </c>
      <c r="H13" s="12" t="s">
        <v>134</v>
      </c>
      <c r="I13" s="49">
        <v>30000</v>
      </c>
      <c r="J13" s="49">
        <v>29050</v>
      </c>
      <c r="K13" s="198">
        <f t="shared" si="1"/>
        <v>96.833333333333343</v>
      </c>
      <c r="L13" s="49"/>
      <c r="M13" s="49"/>
      <c r="N13" s="113"/>
      <c r="O13" s="49">
        <f t="shared" si="3"/>
        <v>30000</v>
      </c>
      <c r="P13" s="49">
        <f t="shared" si="4"/>
        <v>29050</v>
      </c>
      <c r="Q13" s="203">
        <f t="shared" si="2"/>
        <v>96.833333333333343</v>
      </c>
    </row>
    <row r="14" spans="2:17" ht="15" x14ac:dyDescent="0.25">
      <c r="B14" s="72">
        <f t="shared" si="0"/>
        <v>7</v>
      </c>
      <c r="C14" s="178"/>
      <c r="D14" s="178">
        <v>2</v>
      </c>
      <c r="E14" s="252" t="s">
        <v>425</v>
      </c>
      <c r="F14" s="253"/>
      <c r="G14" s="253"/>
      <c r="H14" s="254"/>
      <c r="I14" s="46">
        <v>0</v>
      </c>
      <c r="J14" s="46">
        <v>0</v>
      </c>
      <c r="K14" s="198"/>
      <c r="L14" s="46">
        <f>L15+L16+L17+L22</f>
        <v>0</v>
      </c>
      <c r="M14" s="46">
        <f>M15+M16+M17+M22</f>
        <v>0</v>
      </c>
      <c r="N14" s="189"/>
      <c r="O14" s="46">
        <f t="shared" si="3"/>
        <v>0</v>
      </c>
      <c r="P14" s="46">
        <f t="shared" si="4"/>
        <v>0</v>
      </c>
      <c r="Q14" s="203"/>
    </row>
    <row r="15" spans="2:17" ht="15" x14ac:dyDescent="0.25">
      <c r="B15" s="72">
        <f t="shared" si="0"/>
        <v>8</v>
      </c>
      <c r="C15" s="178"/>
      <c r="D15" s="178">
        <v>3</v>
      </c>
      <c r="E15" s="252" t="s">
        <v>197</v>
      </c>
      <c r="F15" s="253"/>
      <c r="G15" s="253"/>
      <c r="H15" s="254"/>
      <c r="I15" s="46">
        <f>I16+I17+I18+I23</f>
        <v>33700</v>
      </c>
      <c r="J15" s="46">
        <f>J16+J17+J18+J23</f>
        <v>23993</v>
      </c>
      <c r="K15" s="198">
        <f t="shared" si="1"/>
        <v>71.195845697329375</v>
      </c>
      <c r="L15" s="46">
        <f>L16+L17+L18</f>
        <v>0</v>
      </c>
      <c r="M15" s="46">
        <f>M16+M17+M18</f>
        <v>0</v>
      </c>
      <c r="N15" s="189"/>
      <c r="O15" s="46">
        <f t="shared" si="3"/>
        <v>33700</v>
      </c>
      <c r="P15" s="46">
        <f t="shared" si="4"/>
        <v>23993</v>
      </c>
      <c r="Q15" s="203">
        <f t="shared" si="2"/>
        <v>71.195845697329375</v>
      </c>
    </row>
    <row r="16" spans="2:17" x14ac:dyDescent="0.2">
      <c r="B16" s="72">
        <f t="shared" si="0"/>
        <v>9</v>
      </c>
      <c r="C16" s="12"/>
      <c r="D16" s="12"/>
      <c r="E16" s="12"/>
      <c r="F16" s="52" t="s">
        <v>196</v>
      </c>
      <c r="G16" s="12">
        <v>610</v>
      </c>
      <c r="H16" s="12" t="s">
        <v>135</v>
      </c>
      <c r="I16" s="49">
        <v>23000</v>
      </c>
      <c r="J16" s="49">
        <v>16090</v>
      </c>
      <c r="K16" s="198">
        <f t="shared" si="1"/>
        <v>69.956521739130437</v>
      </c>
      <c r="L16" s="49"/>
      <c r="M16" s="49"/>
      <c r="N16" s="113"/>
      <c r="O16" s="49">
        <f t="shared" si="3"/>
        <v>23000</v>
      </c>
      <c r="P16" s="49">
        <f t="shared" si="4"/>
        <v>16090</v>
      </c>
      <c r="Q16" s="203">
        <f t="shared" si="2"/>
        <v>69.956521739130437</v>
      </c>
    </row>
    <row r="17" spans="2:17" x14ac:dyDescent="0.2">
      <c r="B17" s="72">
        <f t="shared" si="0"/>
        <v>10</v>
      </c>
      <c r="C17" s="12"/>
      <c r="D17" s="12"/>
      <c r="E17" s="12"/>
      <c r="F17" s="52" t="s">
        <v>196</v>
      </c>
      <c r="G17" s="12">
        <v>620</v>
      </c>
      <c r="H17" s="12" t="s">
        <v>130</v>
      </c>
      <c r="I17" s="49">
        <f>8750-215</f>
        <v>8535</v>
      </c>
      <c r="J17" s="49">
        <v>5951</v>
      </c>
      <c r="K17" s="198">
        <f t="shared" si="1"/>
        <v>69.72466315172818</v>
      </c>
      <c r="L17" s="49"/>
      <c r="M17" s="49"/>
      <c r="N17" s="113"/>
      <c r="O17" s="49">
        <f t="shared" si="3"/>
        <v>8535</v>
      </c>
      <c r="P17" s="49">
        <f t="shared" si="4"/>
        <v>5951</v>
      </c>
      <c r="Q17" s="203">
        <f t="shared" si="2"/>
        <v>69.72466315172818</v>
      </c>
    </row>
    <row r="18" spans="2:17" x14ac:dyDescent="0.2">
      <c r="B18" s="72">
        <f t="shared" si="0"/>
        <v>11</v>
      </c>
      <c r="C18" s="12"/>
      <c r="D18" s="12"/>
      <c r="E18" s="12"/>
      <c r="F18" s="52" t="s">
        <v>196</v>
      </c>
      <c r="G18" s="12">
        <v>630</v>
      </c>
      <c r="H18" s="12" t="s">
        <v>127</v>
      </c>
      <c r="I18" s="49">
        <f>I22+I21+I20+I19</f>
        <v>1950</v>
      </c>
      <c r="J18" s="49">
        <f>J22+J21+J20+J19</f>
        <v>1738</v>
      </c>
      <c r="K18" s="198">
        <f t="shared" si="1"/>
        <v>89.128205128205124</v>
      </c>
      <c r="L18" s="49">
        <v>0</v>
      </c>
      <c r="M18" s="49"/>
      <c r="N18" s="113"/>
      <c r="O18" s="49">
        <f t="shared" si="3"/>
        <v>1950</v>
      </c>
      <c r="P18" s="49">
        <f t="shared" si="4"/>
        <v>1738</v>
      </c>
      <c r="Q18" s="203">
        <f t="shared" si="2"/>
        <v>89.128205128205124</v>
      </c>
    </row>
    <row r="19" spans="2:17" x14ac:dyDescent="0.2">
      <c r="B19" s="72">
        <f t="shared" si="0"/>
        <v>12</v>
      </c>
      <c r="C19" s="4"/>
      <c r="D19" s="4"/>
      <c r="E19" s="4"/>
      <c r="F19" s="53" t="s">
        <v>196</v>
      </c>
      <c r="G19" s="4">
        <v>632</v>
      </c>
      <c r="H19" s="4" t="s">
        <v>138</v>
      </c>
      <c r="I19" s="58">
        <f>150+60</f>
        <v>210</v>
      </c>
      <c r="J19" s="58">
        <v>223</v>
      </c>
      <c r="K19" s="198">
        <f t="shared" si="1"/>
        <v>106.19047619047619</v>
      </c>
      <c r="L19" s="23"/>
      <c r="M19" s="23"/>
      <c r="N19" s="73"/>
      <c r="O19" s="23">
        <f t="shared" si="3"/>
        <v>210</v>
      </c>
      <c r="P19" s="23">
        <f t="shared" si="4"/>
        <v>223</v>
      </c>
      <c r="Q19" s="203">
        <f t="shared" si="2"/>
        <v>106.19047619047619</v>
      </c>
    </row>
    <row r="20" spans="2:17" x14ac:dyDescent="0.2">
      <c r="B20" s="72">
        <f t="shared" si="0"/>
        <v>13</v>
      </c>
      <c r="C20" s="4"/>
      <c r="D20" s="4"/>
      <c r="E20" s="4"/>
      <c r="F20" s="53" t="s">
        <v>196</v>
      </c>
      <c r="G20" s="4">
        <v>633</v>
      </c>
      <c r="H20" s="4" t="s">
        <v>131</v>
      </c>
      <c r="I20" s="58">
        <f>500-60</f>
        <v>440</v>
      </c>
      <c r="J20" s="58">
        <v>407</v>
      </c>
      <c r="K20" s="198">
        <f t="shared" si="1"/>
        <v>92.5</v>
      </c>
      <c r="L20" s="23"/>
      <c r="M20" s="23"/>
      <c r="N20" s="73"/>
      <c r="O20" s="23">
        <f t="shared" si="3"/>
        <v>440</v>
      </c>
      <c r="P20" s="23">
        <f t="shared" si="4"/>
        <v>407</v>
      </c>
      <c r="Q20" s="203">
        <f t="shared" si="2"/>
        <v>92.5</v>
      </c>
    </row>
    <row r="21" spans="2:17" x14ac:dyDescent="0.2">
      <c r="B21" s="72">
        <f t="shared" si="0"/>
        <v>14</v>
      </c>
      <c r="C21" s="4"/>
      <c r="D21" s="4"/>
      <c r="E21" s="4"/>
      <c r="F21" s="53" t="s">
        <v>196</v>
      </c>
      <c r="G21" s="4">
        <v>635</v>
      </c>
      <c r="H21" s="4" t="s">
        <v>137</v>
      </c>
      <c r="I21" s="58">
        <v>200</v>
      </c>
      <c r="J21" s="58">
        <v>0</v>
      </c>
      <c r="K21" s="198">
        <f t="shared" si="1"/>
        <v>0</v>
      </c>
      <c r="L21" s="23"/>
      <c r="M21" s="23"/>
      <c r="N21" s="73"/>
      <c r="O21" s="23">
        <f t="shared" si="3"/>
        <v>200</v>
      </c>
      <c r="P21" s="23">
        <f t="shared" si="4"/>
        <v>0</v>
      </c>
      <c r="Q21" s="203">
        <f t="shared" si="2"/>
        <v>0</v>
      </c>
    </row>
    <row r="22" spans="2:17" x14ac:dyDescent="0.2">
      <c r="B22" s="72">
        <f t="shared" si="0"/>
        <v>15</v>
      </c>
      <c r="C22" s="4"/>
      <c r="D22" s="4"/>
      <c r="E22" s="4"/>
      <c r="F22" s="53" t="s">
        <v>196</v>
      </c>
      <c r="G22" s="4">
        <v>637</v>
      </c>
      <c r="H22" s="4" t="s">
        <v>128</v>
      </c>
      <c r="I22" s="58">
        <v>1100</v>
      </c>
      <c r="J22" s="58">
        <v>1108</v>
      </c>
      <c r="K22" s="198">
        <f t="shared" si="1"/>
        <v>100.72727272727273</v>
      </c>
      <c r="L22" s="23"/>
      <c r="M22" s="23"/>
      <c r="N22" s="73"/>
      <c r="O22" s="23">
        <f t="shared" si="3"/>
        <v>1100</v>
      </c>
      <c r="P22" s="23">
        <f t="shared" si="4"/>
        <v>1108</v>
      </c>
      <c r="Q22" s="203">
        <f t="shared" si="2"/>
        <v>100.72727272727273</v>
      </c>
    </row>
    <row r="23" spans="2:17" x14ac:dyDescent="0.2">
      <c r="B23" s="72">
        <f t="shared" si="0"/>
        <v>16</v>
      </c>
      <c r="C23" s="4"/>
      <c r="D23" s="4"/>
      <c r="E23" s="4"/>
      <c r="F23" s="52" t="s">
        <v>196</v>
      </c>
      <c r="G23" s="12">
        <v>640</v>
      </c>
      <c r="H23" s="12" t="s">
        <v>134</v>
      </c>
      <c r="I23" s="49">
        <v>215</v>
      </c>
      <c r="J23" s="49">
        <v>214</v>
      </c>
      <c r="K23" s="198">
        <f t="shared" si="1"/>
        <v>99.534883720930239</v>
      </c>
      <c r="L23" s="49"/>
      <c r="M23" s="49"/>
      <c r="N23" s="113"/>
      <c r="O23" s="49">
        <f t="shared" si="3"/>
        <v>215</v>
      </c>
      <c r="P23" s="49">
        <f t="shared" si="4"/>
        <v>214</v>
      </c>
      <c r="Q23" s="203">
        <f t="shared" si="2"/>
        <v>99.534883720930239</v>
      </c>
    </row>
    <row r="24" spans="2:17" x14ac:dyDescent="0.2">
      <c r="B24"/>
      <c r="F24"/>
      <c r="I24"/>
      <c r="J24"/>
      <c r="K24" s="185"/>
      <c r="L24"/>
      <c r="M24"/>
      <c r="N24" s="185"/>
      <c r="O24"/>
    </row>
  </sheetData>
  <mergeCells count="23">
    <mergeCell ref="P3:P7"/>
    <mergeCell ref="Q3:Q7"/>
    <mergeCell ref="E10:H10"/>
    <mergeCell ref="E14:H14"/>
    <mergeCell ref="E15:H15"/>
    <mergeCell ref="C8:H8"/>
    <mergeCell ref="D9:H9"/>
    <mergeCell ref="B3:N3"/>
    <mergeCell ref="B2:O2"/>
    <mergeCell ref="O3:O7"/>
    <mergeCell ref="B4:B7"/>
    <mergeCell ref="C4:C7"/>
    <mergeCell ref="D4:D7"/>
    <mergeCell ref="E4:E7"/>
    <mergeCell ref="F4:F7"/>
    <mergeCell ref="G4:G7"/>
    <mergeCell ref="H4:H7"/>
    <mergeCell ref="I4:I7"/>
    <mergeCell ref="L4:L7"/>
    <mergeCell ref="J4:J7"/>
    <mergeCell ref="K4:K7"/>
    <mergeCell ref="M4:M7"/>
    <mergeCell ref="N4:N7"/>
  </mergeCells>
  <phoneticPr fontId="1" type="noConversion"/>
  <pageMargins left="0.19685039370078741" right="0.19685039370078741" top="0.19685039370078741" bottom="0.19685039370078741" header="0.19685039370078741" footer="0.19685039370078741"/>
  <pageSetup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L42"/>
  <sheetViews>
    <sheetView zoomScale="90" zoomScaleNormal="90" workbookViewId="0"/>
  </sheetViews>
  <sheetFormatPr defaultRowHeight="12.75" x14ac:dyDescent="0.2"/>
  <cols>
    <col min="1" max="1" width="3.28515625" customWidth="1"/>
    <col min="2" max="2" width="3.7109375" customWidth="1"/>
    <col min="3" max="3" width="49" customWidth="1"/>
    <col min="4" max="5" width="14.140625" style="18" customWidth="1"/>
    <col min="6" max="6" width="8" style="18" customWidth="1"/>
    <col min="7" max="8" width="14" style="18" customWidth="1"/>
    <col min="9" max="9" width="7.7109375" style="18" customWidth="1"/>
    <col min="10" max="10" width="13.5703125" style="18" customWidth="1"/>
    <col min="11" max="11" width="13.7109375" style="18" customWidth="1"/>
    <col min="12" max="12" width="6.85546875" customWidth="1"/>
  </cols>
  <sheetData>
    <row r="1" spans="2:12" ht="25.5" customHeight="1" x14ac:dyDescent="0.2"/>
    <row r="2" spans="2:12" ht="57" customHeight="1" x14ac:dyDescent="0.2">
      <c r="B2" s="287"/>
      <c r="C2" s="288"/>
      <c r="D2" s="39" t="s">
        <v>572</v>
      </c>
      <c r="E2" s="39" t="s">
        <v>766</v>
      </c>
      <c r="F2" s="206" t="s">
        <v>763</v>
      </c>
      <c r="G2" s="39" t="s">
        <v>573</v>
      </c>
      <c r="H2" s="39" t="s">
        <v>767</v>
      </c>
      <c r="I2" s="206" t="s">
        <v>763</v>
      </c>
      <c r="J2" s="39" t="s">
        <v>574</v>
      </c>
      <c r="K2" s="39" t="s">
        <v>768</v>
      </c>
      <c r="L2" s="191" t="s">
        <v>763</v>
      </c>
    </row>
    <row r="3" spans="2:12" ht="15.75" x14ac:dyDescent="0.25">
      <c r="B3" s="6">
        <v>1</v>
      </c>
      <c r="C3" s="38" t="s">
        <v>109</v>
      </c>
      <c r="D3" s="40">
        <f>Príjmy!H460</f>
        <v>34985371</v>
      </c>
      <c r="E3" s="40">
        <f>Príjmy!I460</f>
        <v>37362428</v>
      </c>
      <c r="F3" s="204">
        <f>E3/D3*100</f>
        <v>106.79443130673103</v>
      </c>
      <c r="G3" s="40">
        <f>Príjmy!H454</f>
        <v>1250997</v>
      </c>
      <c r="H3" s="40">
        <f>Príjmy!I461</f>
        <v>1240927</v>
      </c>
      <c r="I3" s="204">
        <f>H3/G3*100</f>
        <v>99.195042034473303</v>
      </c>
      <c r="J3" s="40">
        <f>G3+D3</f>
        <v>36236368</v>
      </c>
      <c r="K3" s="40">
        <f>H3+E3</f>
        <v>38603355</v>
      </c>
      <c r="L3" s="192">
        <f>K3/J3*100</f>
        <v>106.53207573121016</v>
      </c>
    </row>
    <row r="4" spans="2:12" ht="15.75" x14ac:dyDescent="0.25">
      <c r="B4" s="6">
        <v>2</v>
      </c>
      <c r="C4" s="38" t="s">
        <v>112</v>
      </c>
      <c r="D4" s="40">
        <f>SUM(D5:D16)</f>
        <v>32122558</v>
      </c>
      <c r="E4" s="40">
        <f>SUM(E5:E16)</f>
        <v>31002435</v>
      </c>
      <c r="F4" s="204">
        <f t="shared" ref="F4:F17" si="0">E4/D4*100</f>
        <v>96.512970729167961</v>
      </c>
      <c r="G4" s="40">
        <f>SUM(G5:G16)</f>
        <v>6330012</v>
      </c>
      <c r="H4" s="40">
        <f>SUM(H5:H16)</f>
        <v>3996596</v>
      </c>
      <c r="I4" s="204">
        <f t="shared" ref="I4:I18" si="1">H4/G4*100</f>
        <v>63.137257875656474</v>
      </c>
      <c r="J4" s="40">
        <f>D4+G4</f>
        <v>38452570</v>
      </c>
      <c r="K4" s="40">
        <f>E4+H4</f>
        <v>34999031</v>
      </c>
      <c r="L4" s="192">
        <f t="shared" ref="L4:L16" si="2">K4/J4*100</f>
        <v>91.018704341478355</v>
      </c>
    </row>
    <row r="5" spans="2:12" ht="14.25" x14ac:dyDescent="0.2">
      <c r="B5" s="7">
        <v>3</v>
      </c>
      <c r="C5" s="37" t="s">
        <v>293</v>
      </c>
      <c r="D5" s="54">
        <f>'P1'!I9</f>
        <v>499833</v>
      </c>
      <c r="E5" s="54">
        <f>'P1'!J9</f>
        <v>361855</v>
      </c>
      <c r="F5" s="205">
        <f t="shared" si="0"/>
        <v>72.395179990116702</v>
      </c>
      <c r="G5" s="54">
        <f>'P1'!L9</f>
        <v>92470</v>
      </c>
      <c r="H5" s="54">
        <f>'P1'!M9</f>
        <v>32860</v>
      </c>
      <c r="I5" s="205">
        <f t="shared" si="1"/>
        <v>35.535849464691246</v>
      </c>
      <c r="J5" s="54">
        <f t="shared" ref="J5:K16" si="3">G5+D5</f>
        <v>592303</v>
      </c>
      <c r="K5" s="54">
        <f t="shared" si="3"/>
        <v>394715</v>
      </c>
      <c r="L5" s="192">
        <f t="shared" si="2"/>
        <v>66.640722738193119</v>
      </c>
    </row>
    <row r="6" spans="2:12" ht="14.25" x14ac:dyDescent="0.2">
      <c r="B6" s="7">
        <v>4</v>
      </c>
      <c r="C6" s="37" t="s">
        <v>294</v>
      </c>
      <c r="D6" s="54">
        <f>'P2'!I10</f>
        <v>85138</v>
      </c>
      <c r="E6" s="54">
        <f>'P2'!J10</f>
        <v>70827</v>
      </c>
      <c r="F6" s="205">
        <f t="shared" si="0"/>
        <v>83.190819610514694</v>
      </c>
      <c r="G6" s="54">
        <f>'P2'!L10</f>
        <v>0</v>
      </c>
      <c r="H6" s="54">
        <f>'P2'!M10</f>
        <v>0</v>
      </c>
      <c r="I6" s="205">
        <v>0</v>
      </c>
      <c r="J6" s="54">
        <f t="shared" si="3"/>
        <v>85138</v>
      </c>
      <c r="K6" s="54">
        <f t="shared" si="3"/>
        <v>70827</v>
      </c>
      <c r="L6" s="192">
        <f t="shared" si="2"/>
        <v>83.190819610514694</v>
      </c>
    </row>
    <row r="7" spans="2:12" ht="14.25" x14ac:dyDescent="0.2">
      <c r="B7" s="7">
        <v>5</v>
      </c>
      <c r="C7" s="37" t="s">
        <v>295</v>
      </c>
      <c r="D7" s="54">
        <f>'P3'!I9</f>
        <v>3692575</v>
      </c>
      <c r="E7" s="54">
        <f>'P3'!J9</f>
        <v>3387627</v>
      </c>
      <c r="F7" s="205">
        <f t="shared" si="0"/>
        <v>91.741589541173838</v>
      </c>
      <c r="G7" s="54">
        <f>'P3'!L9</f>
        <v>423830</v>
      </c>
      <c r="H7" s="54">
        <f>'P3'!M9</f>
        <v>241270</v>
      </c>
      <c r="I7" s="205">
        <f t="shared" si="1"/>
        <v>56.926126041101391</v>
      </c>
      <c r="J7" s="54">
        <f t="shared" si="3"/>
        <v>4116405</v>
      </c>
      <c r="K7" s="54">
        <f t="shared" si="3"/>
        <v>3628897</v>
      </c>
      <c r="L7" s="192">
        <f t="shared" si="2"/>
        <v>88.15694762784517</v>
      </c>
    </row>
    <row r="8" spans="2:12" ht="14.25" x14ac:dyDescent="0.2">
      <c r="B8" s="7">
        <v>6</v>
      </c>
      <c r="C8" s="37" t="s">
        <v>297</v>
      </c>
      <c r="D8" s="54">
        <f>'P4'!I10</f>
        <v>506040</v>
      </c>
      <c r="E8" s="54">
        <f>'P4'!J10</f>
        <v>464408</v>
      </c>
      <c r="F8" s="205">
        <f t="shared" si="0"/>
        <v>91.772982372934948</v>
      </c>
      <c r="G8" s="54">
        <f>'P4'!L10</f>
        <v>61513</v>
      </c>
      <c r="H8" s="54">
        <f>'P4'!M10</f>
        <v>39377</v>
      </c>
      <c r="I8" s="205">
        <f t="shared" si="1"/>
        <v>64.014110838359372</v>
      </c>
      <c r="J8" s="54">
        <f t="shared" si="3"/>
        <v>567553</v>
      </c>
      <c r="K8" s="54">
        <f t="shared" si="3"/>
        <v>503785</v>
      </c>
      <c r="L8" s="192">
        <f t="shared" si="2"/>
        <v>88.764397333817286</v>
      </c>
    </row>
    <row r="9" spans="2:12" ht="14.25" x14ac:dyDescent="0.2">
      <c r="B9" s="7">
        <v>7</v>
      </c>
      <c r="C9" s="37" t="s">
        <v>299</v>
      </c>
      <c r="D9" s="54">
        <f>'P5'!I9</f>
        <v>1553370</v>
      </c>
      <c r="E9" s="54">
        <f>'P5'!J9</f>
        <v>1499627</v>
      </c>
      <c r="F9" s="205">
        <f t="shared" si="0"/>
        <v>96.540231882938386</v>
      </c>
      <c r="G9" s="54">
        <f>'P5'!L9</f>
        <v>160711</v>
      </c>
      <c r="H9" s="54">
        <f>'P5'!M9</f>
        <v>88401</v>
      </c>
      <c r="I9" s="205">
        <f t="shared" si="1"/>
        <v>55.006191237687531</v>
      </c>
      <c r="J9" s="54">
        <f t="shared" si="3"/>
        <v>1714081</v>
      </c>
      <c r="K9" s="54">
        <f t="shared" si="3"/>
        <v>1588028</v>
      </c>
      <c r="L9" s="192">
        <f t="shared" si="2"/>
        <v>92.646030146766691</v>
      </c>
    </row>
    <row r="10" spans="2:12" ht="14.25" x14ac:dyDescent="0.2">
      <c r="B10" s="7">
        <v>8</v>
      </c>
      <c r="C10" s="37" t="s">
        <v>301</v>
      </c>
      <c r="D10" s="54">
        <f>'P6'!I9</f>
        <v>3252631</v>
      </c>
      <c r="E10" s="54">
        <f>'P6'!J9</f>
        <v>3059311</v>
      </c>
      <c r="F10" s="205">
        <f t="shared" si="0"/>
        <v>94.05650379646508</v>
      </c>
      <c r="G10" s="54">
        <f>'P6'!L9</f>
        <v>3495856</v>
      </c>
      <c r="H10" s="54">
        <f>'P6'!M9</f>
        <v>2114209</v>
      </c>
      <c r="I10" s="205">
        <f t="shared" si="1"/>
        <v>60.477576879596874</v>
      </c>
      <c r="J10" s="54">
        <f t="shared" si="3"/>
        <v>6748487</v>
      </c>
      <c r="K10" s="54">
        <f t="shared" si="3"/>
        <v>5173520</v>
      </c>
      <c r="L10" s="192">
        <f t="shared" si="2"/>
        <v>76.66192436912155</v>
      </c>
    </row>
    <row r="11" spans="2:12" ht="14.25" x14ac:dyDescent="0.2">
      <c r="B11" s="7">
        <v>9</v>
      </c>
      <c r="C11" s="37" t="s">
        <v>303</v>
      </c>
      <c r="D11" s="54">
        <f>'P7'!I9</f>
        <v>14066284</v>
      </c>
      <c r="E11" s="54">
        <f>'P7'!J9</f>
        <v>13975180</v>
      </c>
      <c r="F11" s="205">
        <f t="shared" si="0"/>
        <v>99.352323612974118</v>
      </c>
      <c r="G11" s="54">
        <f>'P7'!L9</f>
        <v>1344852</v>
      </c>
      <c r="H11" s="54">
        <f>'P7'!M9</f>
        <v>960953</v>
      </c>
      <c r="I11" s="205">
        <f t="shared" si="1"/>
        <v>71.454182318946621</v>
      </c>
      <c r="J11" s="54">
        <f t="shared" si="3"/>
        <v>15411136</v>
      </c>
      <c r="K11" s="54">
        <f t="shared" si="3"/>
        <v>14936133</v>
      </c>
      <c r="L11" s="192">
        <f t="shared" si="2"/>
        <v>96.917793730455699</v>
      </c>
    </row>
    <row r="12" spans="2:12" ht="14.25" x14ac:dyDescent="0.2">
      <c r="B12" s="7">
        <v>10</v>
      </c>
      <c r="C12" s="37" t="s">
        <v>345</v>
      </c>
      <c r="D12" s="54">
        <f>'P8'!I10</f>
        <v>1792334</v>
      </c>
      <c r="E12" s="54">
        <f>'P8'!J10</f>
        <v>1704113</v>
      </c>
      <c r="F12" s="205">
        <f t="shared" si="0"/>
        <v>95.077870530827397</v>
      </c>
      <c r="G12" s="54">
        <f>'P8'!L10</f>
        <v>530500</v>
      </c>
      <c r="H12" s="54">
        <f>'P8'!M10</f>
        <v>354998</v>
      </c>
      <c r="I12" s="205">
        <f t="shared" si="1"/>
        <v>66.917624882186615</v>
      </c>
      <c r="J12" s="54">
        <f t="shared" si="3"/>
        <v>2322834</v>
      </c>
      <c r="K12" s="54">
        <f t="shared" si="3"/>
        <v>2059111</v>
      </c>
      <c r="L12" s="192">
        <f t="shared" si="2"/>
        <v>88.646498200043567</v>
      </c>
    </row>
    <row r="13" spans="2:12" ht="14.25" x14ac:dyDescent="0.2">
      <c r="B13" s="7">
        <v>11</v>
      </c>
      <c r="C13" s="37" t="s">
        <v>305</v>
      </c>
      <c r="D13" s="54">
        <f>'P9'!I9</f>
        <v>386630</v>
      </c>
      <c r="E13" s="54">
        <f>'P9'!J9</f>
        <v>362471</v>
      </c>
      <c r="F13" s="205">
        <f t="shared" si="0"/>
        <v>93.751390218037926</v>
      </c>
      <c r="G13" s="54">
        <f>'P9'!L9</f>
        <v>28620</v>
      </c>
      <c r="H13" s="54">
        <f>'P9'!M9</f>
        <v>23310</v>
      </c>
      <c r="I13" s="205">
        <f t="shared" si="1"/>
        <v>81.44654088050315</v>
      </c>
      <c r="J13" s="54">
        <f t="shared" si="3"/>
        <v>415250</v>
      </c>
      <c r="K13" s="54">
        <f t="shared" si="3"/>
        <v>385781</v>
      </c>
      <c r="L13" s="192">
        <f t="shared" si="2"/>
        <v>92.903311258278137</v>
      </c>
    </row>
    <row r="14" spans="2:12" ht="14.25" x14ac:dyDescent="0.2">
      <c r="B14" s="7">
        <v>12</v>
      </c>
      <c r="C14" s="37" t="s">
        <v>307</v>
      </c>
      <c r="D14" s="54">
        <f>'P10'!I10</f>
        <v>3582573</v>
      </c>
      <c r="E14" s="54">
        <f>'P10'!J10</f>
        <v>3469983</v>
      </c>
      <c r="F14" s="205">
        <f t="shared" si="0"/>
        <v>96.85728664845071</v>
      </c>
      <c r="G14" s="54">
        <f>'P10'!L10</f>
        <v>144660</v>
      </c>
      <c r="H14" s="54">
        <f>'P10'!M10</f>
        <v>106633</v>
      </c>
      <c r="I14" s="205">
        <f t="shared" si="1"/>
        <v>73.712843909857597</v>
      </c>
      <c r="J14" s="54">
        <f t="shared" si="3"/>
        <v>3727233</v>
      </c>
      <c r="K14" s="54">
        <f t="shared" si="3"/>
        <v>3576616</v>
      </c>
      <c r="L14" s="192">
        <f t="shared" si="2"/>
        <v>95.959013026553478</v>
      </c>
    </row>
    <row r="15" spans="2:12" ht="14.25" x14ac:dyDescent="0.2">
      <c r="B15" s="7">
        <v>13</v>
      </c>
      <c r="C15" s="37" t="s">
        <v>309</v>
      </c>
      <c r="D15" s="54">
        <f>'P11'!I9</f>
        <v>2542450</v>
      </c>
      <c r="E15" s="54">
        <f>'P11'!J9</f>
        <v>2497655</v>
      </c>
      <c r="F15" s="205">
        <f t="shared" si="0"/>
        <v>98.238116777124432</v>
      </c>
      <c r="G15" s="54">
        <f>'P11'!L9</f>
        <v>47000</v>
      </c>
      <c r="H15" s="54">
        <f>'P11'!M9</f>
        <v>34585</v>
      </c>
      <c r="I15" s="205">
        <f t="shared" si="1"/>
        <v>73.585106382978722</v>
      </c>
      <c r="J15" s="54">
        <f t="shared" si="3"/>
        <v>2589450</v>
      </c>
      <c r="K15" s="54">
        <f t="shared" si="3"/>
        <v>2532240</v>
      </c>
      <c r="L15" s="192">
        <f t="shared" si="2"/>
        <v>97.790650524242594</v>
      </c>
    </row>
    <row r="16" spans="2:12" ht="14.25" x14ac:dyDescent="0.2">
      <c r="B16" s="7">
        <v>14</v>
      </c>
      <c r="C16" s="37" t="s">
        <v>311</v>
      </c>
      <c r="D16" s="54">
        <f>'P12'!I8</f>
        <v>162700</v>
      </c>
      <c r="E16" s="54">
        <f>'P12'!J8</f>
        <v>149378</v>
      </c>
      <c r="F16" s="205">
        <f t="shared" si="0"/>
        <v>91.811923786109404</v>
      </c>
      <c r="G16" s="54">
        <f>'P12'!L8</f>
        <v>0</v>
      </c>
      <c r="H16" s="54">
        <f>'P12'!M8</f>
        <v>0</v>
      </c>
      <c r="I16" s="205">
        <v>0</v>
      </c>
      <c r="J16" s="54">
        <f t="shared" si="3"/>
        <v>162700</v>
      </c>
      <c r="K16" s="54">
        <f t="shared" si="3"/>
        <v>149378</v>
      </c>
      <c r="L16" s="192">
        <f t="shared" si="2"/>
        <v>91.811923786109404</v>
      </c>
    </row>
    <row r="17" spans="2:12" ht="15.75" x14ac:dyDescent="0.25">
      <c r="B17" s="6">
        <v>15</v>
      </c>
      <c r="C17" s="38" t="s">
        <v>316</v>
      </c>
      <c r="D17" s="40">
        <f>D3-D4</f>
        <v>2862813</v>
      </c>
      <c r="E17" s="40">
        <f>E3-E4</f>
        <v>6359993</v>
      </c>
      <c r="F17" s="204">
        <f t="shared" si="0"/>
        <v>222.15886961530495</v>
      </c>
      <c r="G17" s="40"/>
      <c r="H17" s="40"/>
      <c r="I17" s="204"/>
      <c r="J17" s="40"/>
      <c r="K17" s="40"/>
      <c r="L17" s="192"/>
    </row>
    <row r="18" spans="2:12" ht="15.75" x14ac:dyDescent="0.25">
      <c r="B18" s="6">
        <v>16</v>
      </c>
      <c r="C18" s="38" t="s">
        <v>326</v>
      </c>
      <c r="D18" s="40"/>
      <c r="E18" s="40"/>
      <c r="F18" s="40"/>
      <c r="G18" s="40">
        <f>G3-G4</f>
        <v>-5079015</v>
      </c>
      <c r="H18" s="40">
        <f>H3-H4</f>
        <v>-2755669</v>
      </c>
      <c r="I18" s="204">
        <f t="shared" si="1"/>
        <v>54.255972860879517</v>
      </c>
      <c r="J18" s="40"/>
      <c r="K18" s="40"/>
      <c r="L18" s="192"/>
    </row>
    <row r="19" spans="2:12" ht="15.75" x14ac:dyDescent="0.25">
      <c r="B19" s="6">
        <v>17</v>
      </c>
      <c r="C19" s="38" t="s">
        <v>327</v>
      </c>
      <c r="D19" s="40"/>
      <c r="E19" s="40"/>
      <c r="F19" s="40"/>
      <c r="G19" s="40"/>
      <c r="H19" s="41"/>
      <c r="I19" s="41"/>
      <c r="J19" s="41">
        <f>J3-J4</f>
        <v>-2216202</v>
      </c>
      <c r="K19" s="41">
        <f>K3-K4</f>
        <v>3604324</v>
      </c>
      <c r="L19" s="192"/>
    </row>
    <row r="21" spans="2:12" ht="15" x14ac:dyDescent="0.2">
      <c r="B21" s="289" t="s">
        <v>110</v>
      </c>
      <c r="C21" s="289"/>
      <c r="D21" s="289"/>
      <c r="E21" s="289"/>
      <c r="F21" s="289"/>
      <c r="G21" s="289"/>
      <c r="H21" s="289"/>
      <c r="I21" s="289"/>
      <c r="J21" s="289"/>
      <c r="K21" s="194"/>
      <c r="L21" s="193"/>
    </row>
    <row r="22" spans="2:12" ht="15.75" x14ac:dyDescent="0.25">
      <c r="B22" s="93">
        <v>1</v>
      </c>
      <c r="C22" s="291" t="s">
        <v>317</v>
      </c>
      <c r="D22" s="292"/>
      <c r="E22" s="292"/>
      <c r="F22" s="292"/>
      <c r="G22" s="292"/>
      <c r="H22" s="181"/>
      <c r="I22" s="181"/>
      <c r="J22" s="42">
        <f>SUM(J23:J30)</f>
        <v>5224377</v>
      </c>
      <c r="K22" s="42">
        <f>SUM(K23:K30)</f>
        <v>5228246</v>
      </c>
      <c r="L22" s="192">
        <f t="shared" ref="L22:L36" si="4">K22/J22*100</f>
        <v>100.07405667699709</v>
      </c>
    </row>
    <row r="23" spans="2:12" x14ac:dyDescent="0.2">
      <c r="B23" s="93">
        <f>B22+1</f>
        <v>2</v>
      </c>
      <c r="C23" s="285" t="s">
        <v>447</v>
      </c>
      <c r="D23" s="286"/>
      <c r="E23" s="286"/>
      <c r="F23" s="286"/>
      <c r="G23" s="286"/>
      <c r="H23" s="180"/>
      <c r="I23" s="180"/>
      <c r="J23" s="43">
        <f>900000+1343226</f>
        <v>2243226</v>
      </c>
      <c r="K23" s="43">
        <v>2243226</v>
      </c>
      <c r="L23" s="192">
        <f t="shared" si="4"/>
        <v>100</v>
      </c>
    </row>
    <row r="24" spans="2:12" x14ac:dyDescent="0.2">
      <c r="B24" s="93">
        <f>B23+1</f>
        <v>3</v>
      </c>
      <c r="C24" s="295" t="s">
        <v>447</v>
      </c>
      <c r="D24" s="296"/>
      <c r="E24" s="296"/>
      <c r="F24" s="296"/>
      <c r="G24" s="296"/>
      <c r="H24" s="184"/>
      <c r="I24" s="184"/>
      <c r="J24" s="43"/>
      <c r="K24" s="43">
        <v>2843</v>
      </c>
      <c r="L24" s="192"/>
    </row>
    <row r="25" spans="2:12" x14ac:dyDescent="0.2">
      <c r="B25" s="93">
        <f>B24+1</f>
        <v>4</v>
      </c>
      <c r="C25" s="285" t="s">
        <v>448</v>
      </c>
      <c r="D25" s="286"/>
      <c r="E25" s="286"/>
      <c r="F25" s="286"/>
      <c r="G25" s="286"/>
      <c r="H25" s="180"/>
      <c r="I25" s="180"/>
      <c r="J25" s="43">
        <f>540255+500000-540255</f>
        <v>500000</v>
      </c>
      <c r="K25" s="43">
        <v>500000</v>
      </c>
      <c r="L25" s="192">
        <f t="shared" si="4"/>
        <v>100</v>
      </c>
    </row>
    <row r="26" spans="2:12" x14ac:dyDescent="0.2">
      <c r="B26" s="93">
        <f t="shared" ref="B26:B34" si="5">B25+1</f>
        <v>5</v>
      </c>
      <c r="C26" s="146" t="s">
        <v>603</v>
      </c>
      <c r="D26" s="147"/>
      <c r="E26" s="180"/>
      <c r="F26" s="180"/>
      <c r="G26" s="147"/>
      <c r="H26" s="180"/>
      <c r="I26" s="180"/>
      <c r="J26" s="43">
        <v>237217</v>
      </c>
      <c r="K26" s="43">
        <v>237217</v>
      </c>
      <c r="L26" s="192">
        <f t="shared" si="4"/>
        <v>100</v>
      </c>
    </row>
    <row r="27" spans="2:12" x14ac:dyDescent="0.2">
      <c r="B27" s="93">
        <f t="shared" si="5"/>
        <v>6</v>
      </c>
      <c r="C27" s="90" t="s">
        <v>449</v>
      </c>
      <c r="D27" s="91"/>
      <c r="E27" s="180"/>
      <c r="F27" s="180"/>
      <c r="G27" s="91"/>
      <c r="H27" s="180"/>
      <c r="I27" s="180"/>
      <c r="J27" s="43">
        <f>971500+7000</f>
        <v>978500</v>
      </c>
      <c r="K27" s="43">
        <v>978500</v>
      </c>
      <c r="L27" s="192">
        <f t="shared" si="4"/>
        <v>100</v>
      </c>
    </row>
    <row r="28" spans="2:12" x14ac:dyDescent="0.2">
      <c r="B28" s="93">
        <f t="shared" si="5"/>
        <v>7</v>
      </c>
      <c r="C28" s="285" t="s">
        <v>450</v>
      </c>
      <c r="D28" s="286"/>
      <c r="E28" s="286"/>
      <c r="F28" s="286"/>
      <c r="G28" s="286"/>
      <c r="H28" s="180"/>
      <c r="I28" s="180"/>
      <c r="J28" s="43">
        <f>1500000-500000</f>
        <v>1000000</v>
      </c>
      <c r="K28" s="43">
        <v>1000000</v>
      </c>
      <c r="L28" s="192">
        <f t="shared" si="4"/>
        <v>100</v>
      </c>
    </row>
    <row r="29" spans="2:12" x14ac:dyDescent="0.2">
      <c r="B29" s="93">
        <f t="shared" si="5"/>
        <v>8</v>
      </c>
      <c r="C29" s="183" t="s">
        <v>771</v>
      </c>
      <c r="D29" s="184"/>
      <c r="E29" s="184"/>
      <c r="F29" s="184"/>
      <c r="G29" s="184"/>
      <c r="H29" s="184"/>
      <c r="I29" s="184"/>
      <c r="J29" s="43"/>
      <c r="K29" s="43">
        <v>1026</v>
      </c>
      <c r="L29" s="192"/>
    </row>
    <row r="30" spans="2:12" x14ac:dyDescent="0.2">
      <c r="B30" s="93">
        <f t="shared" si="5"/>
        <v>9</v>
      </c>
      <c r="C30" s="146" t="s">
        <v>604</v>
      </c>
      <c r="D30" s="147"/>
      <c r="E30" s="180"/>
      <c r="F30" s="180"/>
      <c r="G30" s="147"/>
      <c r="H30" s="180"/>
      <c r="I30" s="180"/>
      <c r="J30" s="43">
        <f>215428+50006</f>
        <v>265434</v>
      </c>
      <c r="K30" s="43">
        <v>265434</v>
      </c>
      <c r="L30" s="192">
        <f t="shared" si="4"/>
        <v>100</v>
      </c>
    </row>
    <row r="31" spans="2:12" ht="15.75" x14ac:dyDescent="0.25">
      <c r="B31" s="93">
        <f t="shared" si="5"/>
        <v>10</v>
      </c>
      <c r="C31" s="291" t="s">
        <v>318</v>
      </c>
      <c r="D31" s="292"/>
      <c r="E31" s="292"/>
      <c r="F31" s="292"/>
      <c r="G31" s="292"/>
      <c r="H31" s="181"/>
      <c r="I31" s="181"/>
      <c r="J31" s="42">
        <f>SUM(J32:J36)</f>
        <v>3008175</v>
      </c>
      <c r="K31" s="42">
        <f t="shared" ref="K31" si="6">SUM(K32:K36)</f>
        <v>3008116</v>
      </c>
      <c r="L31" s="192"/>
    </row>
    <row r="32" spans="2:12" x14ac:dyDescent="0.2">
      <c r="B32" s="93">
        <f t="shared" si="5"/>
        <v>11</v>
      </c>
      <c r="C32" s="285" t="s">
        <v>451</v>
      </c>
      <c r="D32" s="286"/>
      <c r="E32" s="286"/>
      <c r="F32" s="286"/>
      <c r="G32" s="286"/>
      <c r="H32" s="180"/>
      <c r="I32" s="180"/>
      <c r="J32" s="43">
        <f>1456675+180000</f>
        <v>1636675</v>
      </c>
      <c r="K32" s="43">
        <v>1636671</v>
      </c>
      <c r="L32" s="192">
        <f t="shared" si="4"/>
        <v>99.999755602059054</v>
      </c>
    </row>
    <row r="33" spans="2:12" x14ac:dyDescent="0.2">
      <c r="B33" s="93">
        <f t="shared" si="5"/>
        <v>12</v>
      </c>
      <c r="C33" s="285" t="s">
        <v>452</v>
      </c>
      <c r="D33" s="286"/>
      <c r="E33" s="286"/>
      <c r="F33" s="286"/>
      <c r="G33" s="286"/>
      <c r="H33" s="180"/>
      <c r="I33" s="180"/>
      <c r="J33" s="43">
        <v>1162800</v>
      </c>
      <c r="K33" s="43">
        <v>1162799</v>
      </c>
      <c r="L33" s="192">
        <f t="shared" si="4"/>
        <v>99.999914000687994</v>
      </c>
    </row>
    <row r="34" spans="2:12" x14ac:dyDescent="0.2">
      <c r="B34" s="93">
        <f t="shared" si="5"/>
        <v>13</v>
      </c>
      <c r="C34" s="285" t="s">
        <v>453</v>
      </c>
      <c r="D34" s="286"/>
      <c r="E34" s="286"/>
      <c r="F34" s="286"/>
      <c r="G34" s="286"/>
      <c r="H34" s="180"/>
      <c r="I34" s="180"/>
      <c r="J34" s="43">
        <v>58700</v>
      </c>
      <c r="K34" s="43">
        <v>58677</v>
      </c>
      <c r="L34" s="192">
        <f t="shared" si="4"/>
        <v>99.960817717206126</v>
      </c>
    </row>
    <row r="35" spans="2:12" x14ac:dyDescent="0.2">
      <c r="B35" s="93">
        <f t="shared" ref="B35:B37" si="7">B34+1</f>
        <v>14</v>
      </c>
      <c r="C35" s="285" t="s">
        <v>453</v>
      </c>
      <c r="D35" s="286"/>
      <c r="E35" s="286"/>
      <c r="F35" s="286"/>
      <c r="G35" s="286"/>
      <c r="H35" s="180"/>
      <c r="I35" s="180"/>
      <c r="J35" s="43">
        <v>126000</v>
      </c>
      <c r="K35" s="43">
        <v>125989</v>
      </c>
      <c r="L35" s="192">
        <f t="shared" si="4"/>
        <v>99.99126984126984</v>
      </c>
    </row>
    <row r="36" spans="2:12" ht="13.5" thickBot="1" x14ac:dyDescent="0.25">
      <c r="B36" s="93">
        <f t="shared" si="7"/>
        <v>15</v>
      </c>
      <c r="C36" s="285" t="s">
        <v>454</v>
      </c>
      <c r="D36" s="286"/>
      <c r="E36" s="286"/>
      <c r="F36" s="286"/>
      <c r="G36" s="286"/>
      <c r="H36" s="180"/>
      <c r="I36" s="180"/>
      <c r="J36" s="43">
        <v>24000</v>
      </c>
      <c r="K36" s="200">
        <v>23980</v>
      </c>
      <c r="L36" s="192">
        <f t="shared" si="4"/>
        <v>99.916666666666671</v>
      </c>
    </row>
    <row r="37" spans="2:12" ht="16.5" thickTop="1" x14ac:dyDescent="0.25">
      <c r="B37" s="93">
        <f t="shared" si="7"/>
        <v>16</v>
      </c>
      <c r="C37" s="293" t="s">
        <v>319</v>
      </c>
      <c r="D37" s="294"/>
      <c r="E37" s="294"/>
      <c r="F37" s="294"/>
      <c r="G37" s="294"/>
      <c r="H37" s="182"/>
      <c r="I37" s="182"/>
      <c r="J37" s="74">
        <f>J19+J22-J31</f>
        <v>0</v>
      </c>
      <c r="K37" s="74">
        <f t="shared" ref="K37" si="8">K19+K22-K31</f>
        <v>5824454</v>
      </c>
      <c r="L37" s="192"/>
    </row>
    <row r="38" spans="2:12" x14ac:dyDescent="0.2">
      <c r="B38" s="92"/>
    </row>
    <row r="40" spans="2:12" ht="12.75" customHeight="1" x14ac:dyDescent="0.2">
      <c r="B40" s="290" t="s">
        <v>328</v>
      </c>
      <c r="C40" s="290"/>
      <c r="D40" s="290"/>
      <c r="E40" s="290"/>
      <c r="F40" s="290"/>
      <c r="G40" s="290"/>
      <c r="H40" s="290"/>
      <c r="I40" s="290"/>
      <c r="J40" s="290"/>
    </row>
    <row r="41" spans="2:12" ht="12.75" customHeight="1" x14ac:dyDescent="0.2">
      <c r="B41" s="284" t="s">
        <v>329</v>
      </c>
      <c r="C41" s="284"/>
      <c r="D41" s="284"/>
      <c r="E41" s="284"/>
      <c r="F41" s="284"/>
      <c r="G41" s="284"/>
      <c r="H41" s="284"/>
      <c r="I41" s="284"/>
      <c r="J41" s="284"/>
    </row>
    <row r="42" spans="2:12" ht="25.5" customHeight="1" x14ac:dyDescent="0.2">
      <c r="B42" s="284"/>
      <c r="C42" s="284"/>
      <c r="D42" s="284"/>
      <c r="E42" s="284"/>
      <c r="F42" s="284"/>
      <c r="G42" s="284"/>
      <c r="H42" s="284"/>
      <c r="I42" s="284"/>
      <c r="J42" s="284"/>
    </row>
  </sheetData>
  <mergeCells count="16">
    <mergeCell ref="B41:J42"/>
    <mergeCell ref="C32:G32"/>
    <mergeCell ref="B2:C2"/>
    <mergeCell ref="B21:J21"/>
    <mergeCell ref="C25:G25"/>
    <mergeCell ref="C34:G34"/>
    <mergeCell ref="B40:J40"/>
    <mergeCell ref="C22:G22"/>
    <mergeCell ref="C31:G31"/>
    <mergeCell ref="C23:G23"/>
    <mergeCell ref="C28:G28"/>
    <mergeCell ref="C33:G33"/>
    <mergeCell ref="C37:G37"/>
    <mergeCell ref="C36:G36"/>
    <mergeCell ref="C35:G35"/>
    <mergeCell ref="C24:G24"/>
  </mergeCells>
  <phoneticPr fontId="1" type="noConversion"/>
  <pageMargins left="0.15748031496062992" right="0.15748031496062992" top="0.98425196850393704" bottom="0.98425196850393704" header="0.51181102362204722" footer="0.51181102362204722"/>
  <pageSetup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72"/>
  <sheetViews>
    <sheetView zoomScale="90" zoomScaleNormal="90" workbookViewId="0"/>
  </sheetViews>
  <sheetFormatPr defaultRowHeight="12.75" x14ac:dyDescent="0.2"/>
  <cols>
    <col min="2" max="2" width="5.42578125" customWidth="1"/>
    <col min="3" max="3" width="4.42578125" customWidth="1"/>
    <col min="4" max="4" width="4" customWidth="1"/>
    <col min="5" max="5" width="6.28515625" customWidth="1"/>
    <col min="6" max="6" width="7.5703125" customWidth="1"/>
    <col min="7" max="7" width="6.28515625" customWidth="1"/>
    <col min="8" max="8" width="42.28515625" customWidth="1"/>
    <col min="9" max="9" width="13" customWidth="1"/>
    <col min="10" max="10" width="13.28515625" customWidth="1"/>
    <col min="11" max="11" width="6" customWidth="1"/>
    <col min="12" max="12" width="12" customWidth="1"/>
    <col min="13" max="13" width="12.42578125" customWidth="1"/>
    <col min="14" max="14" width="5.85546875" customWidth="1"/>
    <col min="15" max="15" width="12" customWidth="1"/>
    <col min="16" max="16" width="10.42578125" customWidth="1"/>
    <col min="17" max="17" width="5.5703125" customWidth="1"/>
  </cols>
  <sheetData>
    <row r="3" spans="2:17" ht="27" x14ac:dyDescent="0.35">
      <c r="B3" s="264" t="s">
        <v>279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2:17" x14ac:dyDescent="0.2">
      <c r="B4" s="271" t="s">
        <v>280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190"/>
      <c r="N4" s="190"/>
      <c r="O4" s="261" t="s">
        <v>575</v>
      </c>
      <c r="P4" s="250" t="s">
        <v>768</v>
      </c>
      <c r="Q4" s="251" t="s">
        <v>765</v>
      </c>
    </row>
    <row r="5" spans="2:17" x14ac:dyDescent="0.2">
      <c r="B5" s="266" t="s">
        <v>111</v>
      </c>
      <c r="C5" s="255" t="s">
        <v>119</v>
      </c>
      <c r="D5" s="255" t="s">
        <v>120</v>
      </c>
      <c r="E5" s="258" t="s">
        <v>124</v>
      </c>
      <c r="F5" s="255" t="s">
        <v>121</v>
      </c>
      <c r="G5" s="255" t="s">
        <v>122</v>
      </c>
      <c r="H5" s="273" t="s">
        <v>123</v>
      </c>
      <c r="I5" s="261" t="s">
        <v>572</v>
      </c>
      <c r="J5" s="250" t="s">
        <v>766</v>
      </c>
      <c r="K5" s="251" t="s">
        <v>765</v>
      </c>
      <c r="L5" s="261" t="s">
        <v>573</v>
      </c>
      <c r="M5" s="250" t="s">
        <v>767</v>
      </c>
      <c r="N5" s="251" t="s">
        <v>765</v>
      </c>
      <c r="O5" s="262"/>
      <c r="P5" s="250"/>
      <c r="Q5" s="251"/>
    </row>
    <row r="6" spans="2:17" x14ac:dyDescent="0.2">
      <c r="B6" s="266"/>
      <c r="C6" s="255"/>
      <c r="D6" s="255"/>
      <c r="E6" s="259"/>
      <c r="F6" s="255"/>
      <c r="G6" s="255"/>
      <c r="H6" s="273"/>
      <c r="I6" s="262"/>
      <c r="J6" s="250"/>
      <c r="K6" s="251"/>
      <c r="L6" s="262"/>
      <c r="M6" s="250"/>
      <c r="N6" s="251"/>
      <c r="O6" s="262"/>
      <c r="P6" s="250"/>
      <c r="Q6" s="251"/>
    </row>
    <row r="7" spans="2:17" x14ac:dyDescent="0.2">
      <c r="B7" s="266"/>
      <c r="C7" s="255"/>
      <c r="D7" s="255"/>
      <c r="E7" s="259"/>
      <c r="F7" s="255"/>
      <c r="G7" s="255"/>
      <c r="H7" s="273"/>
      <c r="I7" s="262"/>
      <c r="J7" s="250"/>
      <c r="K7" s="251"/>
      <c r="L7" s="262"/>
      <c r="M7" s="250"/>
      <c r="N7" s="251"/>
      <c r="O7" s="262"/>
      <c r="P7" s="250"/>
      <c r="Q7" s="251"/>
    </row>
    <row r="8" spans="2:17" ht="13.5" thickBot="1" x14ac:dyDescent="0.25">
      <c r="B8" s="267"/>
      <c r="C8" s="256"/>
      <c r="D8" s="256"/>
      <c r="E8" s="260"/>
      <c r="F8" s="256"/>
      <c r="G8" s="256"/>
      <c r="H8" s="274"/>
      <c r="I8" s="263"/>
      <c r="J8" s="250"/>
      <c r="K8" s="251"/>
      <c r="L8" s="263"/>
      <c r="M8" s="250"/>
      <c r="N8" s="251"/>
      <c r="O8" s="263"/>
      <c r="P8" s="250"/>
      <c r="Q8" s="251"/>
    </row>
    <row r="9" spans="2:17" ht="16.5" thickTop="1" x14ac:dyDescent="0.2">
      <c r="B9" s="71">
        <v>1</v>
      </c>
      <c r="C9" s="268" t="s">
        <v>279</v>
      </c>
      <c r="D9" s="269"/>
      <c r="E9" s="269"/>
      <c r="F9" s="269"/>
      <c r="G9" s="269"/>
      <c r="H9" s="270"/>
      <c r="I9" s="100">
        <f>I72+I70+I64+I47+I32+I10</f>
        <v>499833</v>
      </c>
      <c r="J9" s="100">
        <f>J72+J70+J64+J47+J32+J10</f>
        <v>361855</v>
      </c>
      <c r="K9" s="198">
        <f t="shared" ref="K9:K40" si="0">J9/I9*100</f>
        <v>72.395179990116702</v>
      </c>
      <c r="L9" s="100">
        <f>L72+L70+L64+L47+L32+L10</f>
        <v>92470</v>
      </c>
      <c r="M9" s="100">
        <f>M72+M70+M64+M47+M32+M10</f>
        <v>32860</v>
      </c>
      <c r="N9" s="198">
        <f>M9/L9*100</f>
        <v>35.535849464691246</v>
      </c>
      <c r="O9" s="44">
        <f t="shared" ref="O9:O40" si="1">L9+I9</f>
        <v>592303</v>
      </c>
      <c r="P9" s="44">
        <f t="shared" ref="P9:P40" si="2">M9+J9</f>
        <v>394715</v>
      </c>
      <c r="Q9" s="203">
        <f t="shared" ref="Q9:Q40" si="3">P9/O9*100</f>
        <v>66.640722738193119</v>
      </c>
    </row>
    <row r="10" spans="2:17" ht="15" x14ac:dyDescent="0.2">
      <c r="B10" s="72">
        <f>B9+1</f>
        <v>2</v>
      </c>
      <c r="C10" s="9">
        <v>1</v>
      </c>
      <c r="D10" s="257" t="s">
        <v>201</v>
      </c>
      <c r="E10" s="253"/>
      <c r="F10" s="253"/>
      <c r="G10" s="253"/>
      <c r="H10" s="254"/>
      <c r="I10" s="45">
        <f>I27+I24+I21+I18+I11</f>
        <v>177300</v>
      </c>
      <c r="J10" s="45">
        <f>J27+J24+J21+J18+J11</f>
        <v>150040</v>
      </c>
      <c r="K10" s="198">
        <f t="shared" si="0"/>
        <v>84.624929498025949</v>
      </c>
      <c r="L10" s="45">
        <f>L27+L24+L21+L18+L11</f>
        <v>0</v>
      </c>
      <c r="M10" s="45">
        <f>M27+M24+M21+M18+M11</f>
        <v>0</v>
      </c>
      <c r="N10" s="198"/>
      <c r="O10" s="45">
        <f t="shared" si="1"/>
        <v>177300</v>
      </c>
      <c r="P10" s="45">
        <f t="shared" si="2"/>
        <v>150040</v>
      </c>
      <c r="Q10" s="203">
        <f t="shared" si="3"/>
        <v>84.624929498025949</v>
      </c>
    </row>
    <row r="11" spans="2:17" ht="15" x14ac:dyDescent="0.25">
      <c r="B11" s="72">
        <f>B10+1</f>
        <v>3</v>
      </c>
      <c r="C11" s="2"/>
      <c r="D11" s="2">
        <v>1</v>
      </c>
      <c r="E11" s="252" t="s">
        <v>216</v>
      </c>
      <c r="F11" s="253"/>
      <c r="G11" s="253"/>
      <c r="H11" s="254"/>
      <c r="I11" s="46">
        <f>I12</f>
        <v>15500</v>
      </c>
      <c r="J11" s="46">
        <f>J12</f>
        <v>12091</v>
      </c>
      <c r="K11" s="198">
        <f t="shared" si="0"/>
        <v>78.00645161290322</v>
      </c>
      <c r="L11" s="46">
        <f>L12</f>
        <v>0</v>
      </c>
      <c r="M11" s="46">
        <f>M12</f>
        <v>0</v>
      </c>
      <c r="N11" s="198"/>
      <c r="O11" s="46">
        <f t="shared" si="1"/>
        <v>15500</v>
      </c>
      <c r="P11" s="46">
        <f t="shared" si="2"/>
        <v>12091</v>
      </c>
      <c r="Q11" s="203">
        <f t="shared" si="3"/>
        <v>78.00645161290322</v>
      </c>
    </row>
    <row r="12" spans="2:17" x14ac:dyDescent="0.2">
      <c r="B12" s="72">
        <f>B11+1</f>
        <v>4</v>
      </c>
      <c r="C12" s="12"/>
      <c r="D12" s="12"/>
      <c r="E12" s="12"/>
      <c r="F12" s="52" t="s">
        <v>73</v>
      </c>
      <c r="G12" s="12">
        <v>630</v>
      </c>
      <c r="H12" s="12" t="s">
        <v>127</v>
      </c>
      <c r="I12" s="49">
        <f>I17+I16+I15+I14+I13</f>
        <v>15500</v>
      </c>
      <c r="J12" s="49">
        <f>J17+J16+J15+J14+J13</f>
        <v>12091</v>
      </c>
      <c r="K12" s="198">
        <f t="shared" si="0"/>
        <v>78.00645161290322</v>
      </c>
      <c r="L12" s="49">
        <f>L17+L16+L15+L14+L13</f>
        <v>0</v>
      </c>
      <c r="M12" s="49">
        <f>M17+M16+M15+M14+M13</f>
        <v>0</v>
      </c>
      <c r="N12" s="198"/>
      <c r="O12" s="49">
        <f t="shared" si="1"/>
        <v>15500</v>
      </c>
      <c r="P12" s="49">
        <f t="shared" si="2"/>
        <v>12091</v>
      </c>
      <c r="Q12" s="203">
        <f t="shared" si="3"/>
        <v>78.00645161290322</v>
      </c>
    </row>
    <row r="13" spans="2:17" x14ac:dyDescent="0.2">
      <c r="B13" s="72">
        <f>B12+1</f>
        <v>5</v>
      </c>
      <c r="C13" s="4"/>
      <c r="D13" s="4"/>
      <c r="E13" s="4"/>
      <c r="F13" s="53" t="s">
        <v>73</v>
      </c>
      <c r="G13" s="4">
        <v>631</v>
      </c>
      <c r="H13" s="4" t="s">
        <v>133</v>
      </c>
      <c r="I13" s="23">
        <v>2000</v>
      </c>
      <c r="J13" s="23">
        <v>753</v>
      </c>
      <c r="K13" s="198">
        <f t="shared" si="0"/>
        <v>37.65</v>
      </c>
      <c r="L13" s="23"/>
      <c r="M13" s="23"/>
      <c r="N13" s="198"/>
      <c r="O13" s="23">
        <f t="shared" si="1"/>
        <v>2000</v>
      </c>
      <c r="P13" s="23">
        <f t="shared" si="2"/>
        <v>753</v>
      </c>
      <c r="Q13" s="203">
        <f t="shared" si="3"/>
        <v>37.65</v>
      </c>
    </row>
    <row r="14" spans="2:17" x14ac:dyDescent="0.2">
      <c r="B14" s="72">
        <f>B13+1</f>
        <v>6</v>
      </c>
      <c r="C14" s="4"/>
      <c r="D14" s="4"/>
      <c r="E14" s="4"/>
      <c r="F14" s="53" t="s">
        <v>73</v>
      </c>
      <c r="G14" s="4">
        <v>633</v>
      </c>
      <c r="H14" s="4" t="s">
        <v>131</v>
      </c>
      <c r="I14" s="23">
        <v>8000</v>
      </c>
      <c r="J14" s="23">
        <v>7570</v>
      </c>
      <c r="K14" s="198">
        <f t="shared" si="0"/>
        <v>94.625</v>
      </c>
      <c r="L14" s="23"/>
      <c r="M14" s="23"/>
      <c r="N14" s="198"/>
      <c r="O14" s="23">
        <f t="shared" si="1"/>
        <v>8000</v>
      </c>
      <c r="P14" s="23">
        <f t="shared" si="2"/>
        <v>7570</v>
      </c>
      <c r="Q14" s="203">
        <f t="shared" si="3"/>
        <v>94.625</v>
      </c>
    </row>
    <row r="15" spans="2:17" x14ac:dyDescent="0.2">
      <c r="B15" s="72">
        <f t="shared" ref="B15:B42" si="4">B14+1</f>
        <v>7</v>
      </c>
      <c r="C15" s="4"/>
      <c r="D15" s="4"/>
      <c r="E15" s="4"/>
      <c r="F15" s="53" t="s">
        <v>73</v>
      </c>
      <c r="G15" s="4">
        <v>634</v>
      </c>
      <c r="H15" s="4" t="s">
        <v>136</v>
      </c>
      <c r="I15" s="23">
        <v>500</v>
      </c>
      <c r="J15" s="23">
        <v>300</v>
      </c>
      <c r="K15" s="198">
        <f t="shared" si="0"/>
        <v>60</v>
      </c>
      <c r="L15" s="23"/>
      <c r="M15" s="23"/>
      <c r="N15" s="198"/>
      <c r="O15" s="23">
        <f t="shared" si="1"/>
        <v>500</v>
      </c>
      <c r="P15" s="23">
        <f t="shared" si="2"/>
        <v>300</v>
      </c>
      <c r="Q15" s="203">
        <f t="shared" si="3"/>
        <v>60</v>
      </c>
    </row>
    <row r="16" spans="2:17" x14ac:dyDescent="0.2">
      <c r="B16" s="72">
        <f t="shared" si="4"/>
        <v>8</v>
      </c>
      <c r="C16" s="4"/>
      <c r="D16" s="4"/>
      <c r="E16" s="4"/>
      <c r="F16" s="53" t="s">
        <v>73</v>
      </c>
      <c r="G16" s="4">
        <v>636</v>
      </c>
      <c r="H16" s="4" t="s">
        <v>132</v>
      </c>
      <c r="I16" s="23">
        <v>500</v>
      </c>
      <c r="J16" s="23">
        <v>189</v>
      </c>
      <c r="K16" s="198">
        <f t="shared" si="0"/>
        <v>37.799999999999997</v>
      </c>
      <c r="L16" s="23"/>
      <c r="M16" s="23"/>
      <c r="N16" s="198"/>
      <c r="O16" s="23">
        <f t="shared" si="1"/>
        <v>500</v>
      </c>
      <c r="P16" s="23">
        <f t="shared" si="2"/>
        <v>189</v>
      </c>
      <c r="Q16" s="203">
        <f t="shared" si="3"/>
        <v>37.799999999999997</v>
      </c>
    </row>
    <row r="17" spans="2:17" x14ac:dyDescent="0.2">
      <c r="B17" s="72">
        <f t="shared" si="4"/>
        <v>9</v>
      </c>
      <c r="C17" s="4"/>
      <c r="D17" s="4"/>
      <c r="E17" s="4"/>
      <c r="F17" s="53" t="s">
        <v>73</v>
      </c>
      <c r="G17" s="4">
        <v>637</v>
      </c>
      <c r="H17" s="4" t="s">
        <v>128</v>
      </c>
      <c r="I17" s="23">
        <v>4500</v>
      </c>
      <c r="J17" s="23">
        <v>3279</v>
      </c>
      <c r="K17" s="198">
        <f t="shared" si="0"/>
        <v>72.866666666666674</v>
      </c>
      <c r="L17" s="23"/>
      <c r="M17" s="23"/>
      <c r="N17" s="198"/>
      <c r="O17" s="23">
        <f t="shared" si="1"/>
        <v>4500</v>
      </c>
      <c r="P17" s="23">
        <f t="shared" si="2"/>
        <v>3279</v>
      </c>
      <c r="Q17" s="203">
        <f t="shared" si="3"/>
        <v>72.866666666666674</v>
      </c>
    </row>
    <row r="18" spans="2:17" ht="15" x14ac:dyDescent="0.25">
      <c r="B18" s="72">
        <f t="shared" si="4"/>
        <v>10</v>
      </c>
      <c r="C18" s="2"/>
      <c r="D18" s="2">
        <v>2</v>
      </c>
      <c r="E18" s="252" t="s">
        <v>16</v>
      </c>
      <c r="F18" s="253"/>
      <c r="G18" s="253"/>
      <c r="H18" s="254"/>
      <c r="I18" s="46">
        <f>I19</f>
        <v>500</v>
      </c>
      <c r="J18" s="46">
        <f>J19</f>
        <v>500</v>
      </c>
      <c r="K18" s="198">
        <f t="shared" si="0"/>
        <v>100</v>
      </c>
      <c r="L18" s="46">
        <f>L19</f>
        <v>0</v>
      </c>
      <c r="M18" s="46">
        <f>M19</f>
        <v>0</v>
      </c>
      <c r="N18" s="198"/>
      <c r="O18" s="46">
        <f t="shared" si="1"/>
        <v>500</v>
      </c>
      <c r="P18" s="46">
        <f t="shared" si="2"/>
        <v>500</v>
      </c>
      <c r="Q18" s="203">
        <f t="shared" si="3"/>
        <v>100</v>
      </c>
    </row>
    <row r="19" spans="2:17" x14ac:dyDescent="0.2">
      <c r="B19" s="72">
        <f t="shared" si="4"/>
        <v>11</v>
      </c>
      <c r="C19" s="12"/>
      <c r="D19" s="12"/>
      <c r="E19" s="12"/>
      <c r="F19" s="52" t="s">
        <v>73</v>
      </c>
      <c r="G19" s="12">
        <v>630</v>
      </c>
      <c r="H19" s="12" t="s">
        <v>127</v>
      </c>
      <c r="I19" s="49">
        <f>I20</f>
        <v>500</v>
      </c>
      <c r="J19" s="49">
        <f>J20</f>
        <v>500</v>
      </c>
      <c r="K19" s="198">
        <f t="shared" si="0"/>
        <v>100</v>
      </c>
      <c r="L19" s="49">
        <f>L20</f>
        <v>0</v>
      </c>
      <c r="M19" s="49">
        <f>M20</f>
        <v>0</v>
      </c>
      <c r="N19" s="198"/>
      <c r="O19" s="49">
        <f t="shared" si="1"/>
        <v>500</v>
      </c>
      <c r="P19" s="49">
        <f t="shared" si="2"/>
        <v>500</v>
      </c>
      <c r="Q19" s="203">
        <f t="shared" si="3"/>
        <v>100</v>
      </c>
    </row>
    <row r="20" spans="2:17" x14ac:dyDescent="0.2">
      <c r="B20" s="72">
        <f t="shared" si="4"/>
        <v>12</v>
      </c>
      <c r="C20" s="4"/>
      <c r="D20" s="4"/>
      <c r="E20" s="4"/>
      <c r="F20" s="53" t="s">
        <v>73</v>
      </c>
      <c r="G20" s="4">
        <v>633</v>
      </c>
      <c r="H20" s="4" t="s">
        <v>131</v>
      </c>
      <c r="I20" s="23">
        <v>500</v>
      </c>
      <c r="J20" s="23">
        <v>500</v>
      </c>
      <c r="K20" s="198">
        <f t="shared" si="0"/>
        <v>100</v>
      </c>
      <c r="L20" s="23"/>
      <c r="M20" s="23"/>
      <c r="N20" s="198"/>
      <c r="O20" s="23">
        <f t="shared" si="1"/>
        <v>500</v>
      </c>
      <c r="P20" s="23">
        <f t="shared" si="2"/>
        <v>500</v>
      </c>
      <c r="Q20" s="203">
        <f t="shared" si="3"/>
        <v>100</v>
      </c>
    </row>
    <row r="21" spans="2:17" ht="15" x14ac:dyDescent="0.25">
      <c r="B21" s="72">
        <f t="shared" si="4"/>
        <v>13</v>
      </c>
      <c r="C21" s="2"/>
      <c r="D21" s="2">
        <v>3</v>
      </c>
      <c r="E21" s="252" t="s">
        <v>17</v>
      </c>
      <c r="F21" s="253"/>
      <c r="G21" s="253"/>
      <c r="H21" s="254"/>
      <c r="I21" s="46">
        <f>I22</f>
        <v>500</v>
      </c>
      <c r="J21" s="46">
        <f>J22</f>
        <v>350</v>
      </c>
      <c r="K21" s="198">
        <f t="shared" si="0"/>
        <v>70</v>
      </c>
      <c r="L21" s="46">
        <f>L22</f>
        <v>0</v>
      </c>
      <c r="M21" s="46">
        <f>M22</f>
        <v>0</v>
      </c>
      <c r="N21" s="198"/>
      <c r="O21" s="46">
        <f t="shared" si="1"/>
        <v>500</v>
      </c>
      <c r="P21" s="46">
        <f t="shared" si="2"/>
        <v>350</v>
      </c>
      <c r="Q21" s="203">
        <f t="shared" si="3"/>
        <v>70</v>
      </c>
    </row>
    <row r="22" spans="2:17" x14ac:dyDescent="0.2">
      <c r="B22" s="72">
        <f t="shared" si="4"/>
        <v>14</v>
      </c>
      <c r="C22" s="12"/>
      <c r="D22" s="12"/>
      <c r="E22" s="12"/>
      <c r="F22" s="52" t="s">
        <v>73</v>
      </c>
      <c r="G22" s="12">
        <v>630</v>
      </c>
      <c r="H22" s="12" t="s">
        <v>127</v>
      </c>
      <c r="I22" s="49">
        <f>I23</f>
        <v>500</v>
      </c>
      <c r="J22" s="49">
        <f>J23</f>
        <v>350</v>
      </c>
      <c r="K22" s="198">
        <f t="shared" si="0"/>
        <v>70</v>
      </c>
      <c r="L22" s="49">
        <f>L23</f>
        <v>0</v>
      </c>
      <c r="M22" s="49">
        <f>M23</f>
        <v>0</v>
      </c>
      <c r="N22" s="198"/>
      <c r="O22" s="49">
        <f t="shared" si="1"/>
        <v>500</v>
      </c>
      <c r="P22" s="49">
        <f t="shared" si="2"/>
        <v>350</v>
      </c>
      <c r="Q22" s="203">
        <f t="shared" si="3"/>
        <v>70</v>
      </c>
    </row>
    <row r="23" spans="2:17" x14ac:dyDescent="0.2">
      <c r="B23" s="72">
        <f t="shared" si="4"/>
        <v>15</v>
      </c>
      <c r="C23" s="4"/>
      <c r="D23" s="4"/>
      <c r="E23" s="4"/>
      <c r="F23" s="53" t="s">
        <v>73</v>
      </c>
      <c r="G23" s="4">
        <v>633</v>
      </c>
      <c r="H23" s="4" t="s">
        <v>131</v>
      </c>
      <c r="I23" s="23">
        <v>500</v>
      </c>
      <c r="J23" s="23">
        <v>350</v>
      </c>
      <c r="K23" s="198">
        <f t="shared" si="0"/>
        <v>70</v>
      </c>
      <c r="L23" s="23"/>
      <c r="M23" s="23"/>
      <c r="N23" s="198"/>
      <c r="O23" s="23">
        <f t="shared" si="1"/>
        <v>500</v>
      </c>
      <c r="P23" s="23">
        <f t="shared" si="2"/>
        <v>350</v>
      </c>
      <c r="Q23" s="203">
        <f t="shared" si="3"/>
        <v>70</v>
      </c>
    </row>
    <row r="24" spans="2:17" ht="15" x14ac:dyDescent="0.25">
      <c r="B24" s="72">
        <f t="shared" si="4"/>
        <v>16</v>
      </c>
      <c r="C24" s="2"/>
      <c r="D24" s="2">
        <v>4</v>
      </c>
      <c r="E24" s="252" t="s">
        <v>28</v>
      </c>
      <c r="F24" s="253"/>
      <c r="G24" s="253"/>
      <c r="H24" s="254"/>
      <c r="I24" s="46">
        <f>I25</f>
        <v>800</v>
      </c>
      <c r="J24" s="46">
        <f>J25</f>
        <v>720</v>
      </c>
      <c r="K24" s="198">
        <f t="shared" si="0"/>
        <v>90</v>
      </c>
      <c r="L24" s="46">
        <v>0</v>
      </c>
      <c r="M24" s="46">
        <v>0</v>
      </c>
      <c r="N24" s="198"/>
      <c r="O24" s="46">
        <f t="shared" si="1"/>
        <v>800</v>
      </c>
      <c r="P24" s="46">
        <f t="shared" si="2"/>
        <v>720</v>
      </c>
      <c r="Q24" s="203">
        <f t="shared" si="3"/>
        <v>90</v>
      </c>
    </row>
    <row r="25" spans="2:17" x14ac:dyDescent="0.2">
      <c r="B25" s="72">
        <f t="shared" si="4"/>
        <v>17</v>
      </c>
      <c r="C25" s="12"/>
      <c r="D25" s="12"/>
      <c r="E25" s="12"/>
      <c r="F25" s="52" t="s">
        <v>73</v>
      </c>
      <c r="G25" s="12">
        <v>630</v>
      </c>
      <c r="H25" s="12" t="s">
        <v>127</v>
      </c>
      <c r="I25" s="49">
        <f>I26</f>
        <v>800</v>
      </c>
      <c r="J25" s="49">
        <f>J26</f>
        <v>720</v>
      </c>
      <c r="K25" s="198">
        <f t="shared" si="0"/>
        <v>90</v>
      </c>
      <c r="L25" s="49">
        <f>L26</f>
        <v>0</v>
      </c>
      <c r="M25" s="49">
        <f>M26</f>
        <v>0</v>
      </c>
      <c r="N25" s="198"/>
      <c r="O25" s="49">
        <f t="shared" si="1"/>
        <v>800</v>
      </c>
      <c r="P25" s="49">
        <f t="shared" si="2"/>
        <v>720</v>
      </c>
      <c r="Q25" s="203">
        <f t="shared" si="3"/>
        <v>90</v>
      </c>
    </row>
    <row r="26" spans="2:17" x14ac:dyDescent="0.2">
      <c r="B26" s="72">
        <f t="shared" si="4"/>
        <v>18</v>
      </c>
      <c r="C26" s="4"/>
      <c r="D26" s="4"/>
      <c r="E26" s="4"/>
      <c r="F26" s="53" t="s">
        <v>73</v>
      </c>
      <c r="G26" s="4">
        <v>637</v>
      </c>
      <c r="H26" s="4" t="s">
        <v>128</v>
      </c>
      <c r="I26" s="23">
        <v>800</v>
      </c>
      <c r="J26" s="23">
        <v>720</v>
      </c>
      <c r="K26" s="198">
        <f t="shared" si="0"/>
        <v>90</v>
      </c>
      <c r="L26" s="23"/>
      <c r="M26" s="23"/>
      <c r="N26" s="198"/>
      <c r="O26" s="23">
        <f t="shared" si="1"/>
        <v>800</v>
      </c>
      <c r="P26" s="23">
        <f t="shared" si="2"/>
        <v>720</v>
      </c>
      <c r="Q26" s="203">
        <f t="shared" si="3"/>
        <v>90</v>
      </c>
    </row>
    <row r="27" spans="2:17" ht="15" x14ac:dyDescent="0.25">
      <c r="B27" s="72">
        <f t="shared" si="4"/>
        <v>19</v>
      </c>
      <c r="C27" s="2"/>
      <c r="D27" s="2">
        <v>5</v>
      </c>
      <c r="E27" s="252" t="s">
        <v>200</v>
      </c>
      <c r="F27" s="253"/>
      <c r="G27" s="253"/>
      <c r="H27" s="254"/>
      <c r="I27" s="46">
        <f>I28+I29</f>
        <v>160000</v>
      </c>
      <c r="J27" s="46">
        <f>J28+J29</f>
        <v>136379</v>
      </c>
      <c r="K27" s="198">
        <f t="shared" si="0"/>
        <v>85.236874999999998</v>
      </c>
      <c r="L27" s="46">
        <f>L28+L29</f>
        <v>0</v>
      </c>
      <c r="M27" s="46">
        <f>M28+M29</f>
        <v>0</v>
      </c>
      <c r="N27" s="198"/>
      <c r="O27" s="46">
        <f t="shared" si="1"/>
        <v>160000</v>
      </c>
      <c r="P27" s="46">
        <f t="shared" si="2"/>
        <v>136379</v>
      </c>
      <c r="Q27" s="203">
        <f t="shared" si="3"/>
        <v>85.236874999999998</v>
      </c>
    </row>
    <row r="28" spans="2:17" x14ac:dyDescent="0.2">
      <c r="B28" s="72">
        <f t="shared" si="4"/>
        <v>20</v>
      </c>
      <c r="C28" s="12"/>
      <c r="D28" s="12"/>
      <c r="E28" s="12"/>
      <c r="F28" s="52" t="s">
        <v>73</v>
      </c>
      <c r="G28" s="12">
        <v>620</v>
      </c>
      <c r="H28" s="12" t="s">
        <v>130</v>
      </c>
      <c r="I28" s="49">
        <v>38450</v>
      </c>
      <c r="J28" s="49">
        <v>31971</v>
      </c>
      <c r="K28" s="198">
        <f t="shared" si="0"/>
        <v>83.149544863459042</v>
      </c>
      <c r="L28" s="49"/>
      <c r="M28" s="49"/>
      <c r="N28" s="198"/>
      <c r="O28" s="49">
        <f t="shared" si="1"/>
        <v>38450</v>
      </c>
      <c r="P28" s="49">
        <f t="shared" si="2"/>
        <v>31971</v>
      </c>
      <c r="Q28" s="203">
        <f t="shared" si="3"/>
        <v>83.149544863459042</v>
      </c>
    </row>
    <row r="29" spans="2:17" x14ac:dyDescent="0.2">
      <c r="B29" s="72">
        <f t="shared" si="4"/>
        <v>21</v>
      </c>
      <c r="C29" s="12"/>
      <c r="D29" s="12"/>
      <c r="E29" s="12"/>
      <c r="F29" s="52" t="s">
        <v>73</v>
      </c>
      <c r="G29" s="12">
        <v>630</v>
      </c>
      <c r="H29" s="12" t="s">
        <v>127</v>
      </c>
      <c r="I29" s="49">
        <f>I31+I30</f>
        <v>121550</v>
      </c>
      <c r="J29" s="49">
        <f>J31+J30</f>
        <v>104408</v>
      </c>
      <c r="K29" s="198">
        <f t="shared" si="0"/>
        <v>85.897161661867543</v>
      </c>
      <c r="L29" s="49">
        <f>L31+L30</f>
        <v>0</v>
      </c>
      <c r="M29" s="49">
        <f>M31+M30</f>
        <v>0</v>
      </c>
      <c r="N29" s="198"/>
      <c r="O29" s="49">
        <f t="shared" si="1"/>
        <v>121550</v>
      </c>
      <c r="P29" s="49">
        <f t="shared" si="2"/>
        <v>104408</v>
      </c>
      <c r="Q29" s="203">
        <f t="shared" si="3"/>
        <v>85.897161661867543</v>
      </c>
    </row>
    <row r="30" spans="2:17" x14ac:dyDescent="0.2">
      <c r="B30" s="72">
        <f t="shared" si="4"/>
        <v>22</v>
      </c>
      <c r="C30" s="4"/>
      <c r="D30" s="4"/>
      <c r="E30" s="4"/>
      <c r="F30" s="53" t="s">
        <v>73</v>
      </c>
      <c r="G30" s="4">
        <v>632</v>
      </c>
      <c r="H30" s="4" t="s">
        <v>138</v>
      </c>
      <c r="I30" s="58">
        <v>11550</v>
      </c>
      <c r="J30" s="58">
        <v>11038</v>
      </c>
      <c r="K30" s="198">
        <f t="shared" si="0"/>
        <v>95.567099567099561</v>
      </c>
      <c r="L30" s="23"/>
      <c r="M30" s="23"/>
      <c r="N30" s="198"/>
      <c r="O30" s="23">
        <f t="shared" si="1"/>
        <v>11550</v>
      </c>
      <c r="P30" s="23">
        <f t="shared" si="2"/>
        <v>11038</v>
      </c>
      <c r="Q30" s="203">
        <f t="shared" si="3"/>
        <v>95.567099567099561</v>
      </c>
    </row>
    <row r="31" spans="2:17" x14ac:dyDescent="0.2">
      <c r="B31" s="72">
        <f t="shared" si="4"/>
        <v>23</v>
      </c>
      <c r="C31" s="4"/>
      <c r="D31" s="4"/>
      <c r="E31" s="4"/>
      <c r="F31" s="53" t="s">
        <v>73</v>
      </c>
      <c r="G31" s="4">
        <v>637</v>
      </c>
      <c r="H31" s="4" t="s">
        <v>128</v>
      </c>
      <c r="I31" s="23">
        <v>110000</v>
      </c>
      <c r="J31" s="23">
        <v>93370</v>
      </c>
      <c r="K31" s="198">
        <f t="shared" si="0"/>
        <v>84.881818181818176</v>
      </c>
      <c r="L31" s="23"/>
      <c r="M31" s="23"/>
      <c r="N31" s="198"/>
      <c r="O31" s="23">
        <f t="shared" si="1"/>
        <v>110000</v>
      </c>
      <c r="P31" s="23">
        <f t="shared" si="2"/>
        <v>93370</v>
      </c>
      <c r="Q31" s="203">
        <f t="shared" si="3"/>
        <v>84.881818181818176</v>
      </c>
    </row>
    <row r="32" spans="2:17" ht="15" x14ac:dyDescent="0.2">
      <c r="B32" s="72">
        <f t="shared" si="4"/>
        <v>24</v>
      </c>
      <c r="C32" s="9">
        <v>2</v>
      </c>
      <c r="D32" s="257" t="s">
        <v>215</v>
      </c>
      <c r="E32" s="253"/>
      <c r="F32" s="253"/>
      <c r="G32" s="253"/>
      <c r="H32" s="254"/>
      <c r="I32" s="45">
        <f>I33+I34</f>
        <v>150200</v>
      </c>
      <c r="J32" s="45">
        <f>J33+J34</f>
        <v>78428</v>
      </c>
      <c r="K32" s="198">
        <f t="shared" si="0"/>
        <v>52.215712383488679</v>
      </c>
      <c r="L32" s="45">
        <f>L41</f>
        <v>35000</v>
      </c>
      <c r="M32" s="45">
        <f>M41</f>
        <v>31860</v>
      </c>
      <c r="N32" s="198">
        <f>M32/L32*100</f>
        <v>91.028571428571425</v>
      </c>
      <c r="O32" s="45">
        <f t="shared" si="1"/>
        <v>185200</v>
      </c>
      <c r="P32" s="45">
        <f t="shared" si="2"/>
        <v>110288</v>
      </c>
      <c r="Q32" s="203">
        <f t="shared" si="3"/>
        <v>59.550755939524834</v>
      </c>
    </row>
    <row r="33" spans="2:17" x14ac:dyDescent="0.2">
      <c r="B33" s="72">
        <f t="shared" si="4"/>
        <v>25</v>
      </c>
      <c r="C33" s="12"/>
      <c r="D33" s="12"/>
      <c r="E33" s="12"/>
      <c r="F33" s="52" t="s">
        <v>214</v>
      </c>
      <c r="G33" s="12">
        <v>620</v>
      </c>
      <c r="H33" s="12" t="s">
        <v>130</v>
      </c>
      <c r="I33" s="49">
        <f>9000+1200</f>
        <v>10200</v>
      </c>
      <c r="J33" s="49">
        <v>2792</v>
      </c>
      <c r="K33" s="198">
        <f t="shared" si="0"/>
        <v>27.372549019607845</v>
      </c>
      <c r="L33" s="49"/>
      <c r="M33" s="49"/>
      <c r="N33" s="198"/>
      <c r="O33" s="49">
        <f t="shared" si="1"/>
        <v>10200</v>
      </c>
      <c r="P33" s="49">
        <f t="shared" si="2"/>
        <v>2792</v>
      </c>
      <c r="Q33" s="203">
        <f t="shared" si="3"/>
        <v>27.372549019607845</v>
      </c>
    </row>
    <row r="34" spans="2:17" x14ac:dyDescent="0.2">
      <c r="B34" s="72">
        <f t="shared" si="4"/>
        <v>26</v>
      </c>
      <c r="C34" s="12"/>
      <c r="D34" s="12"/>
      <c r="E34" s="12"/>
      <c r="F34" s="52" t="s">
        <v>214</v>
      </c>
      <c r="G34" s="12">
        <v>630</v>
      </c>
      <c r="H34" s="12" t="s">
        <v>127</v>
      </c>
      <c r="I34" s="49">
        <f>I37+I36+I35</f>
        <v>140000</v>
      </c>
      <c r="J34" s="49">
        <f>J37+J36+J35</f>
        <v>75636</v>
      </c>
      <c r="K34" s="198">
        <f t="shared" si="0"/>
        <v>54.025714285714287</v>
      </c>
      <c r="L34" s="49">
        <f>L37+L36</f>
        <v>0</v>
      </c>
      <c r="M34" s="49">
        <f>M37+M36</f>
        <v>0</v>
      </c>
      <c r="N34" s="198"/>
      <c r="O34" s="49">
        <f t="shared" si="1"/>
        <v>140000</v>
      </c>
      <c r="P34" s="49">
        <f t="shared" si="2"/>
        <v>75636</v>
      </c>
      <c r="Q34" s="203">
        <f t="shared" si="3"/>
        <v>54.025714285714287</v>
      </c>
    </row>
    <row r="35" spans="2:17" x14ac:dyDescent="0.2">
      <c r="B35" s="72">
        <f t="shared" si="4"/>
        <v>27</v>
      </c>
      <c r="C35" s="12"/>
      <c r="D35" s="12"/>
      <c r="E35" s="12"/>
      <c r="F35" s="53" t="s">
        <v>214</v>
      </c>
      <c r="G35" s="4">
        <v>633</v>
      </c>
      <c r="H35" s="4" t="s">
        <v>131</v>
      </c>
      <c r="I35" s="23">
        <v>2800</v>
      </c>
      <c r="J35" s="23">
        <v>1572</v>
      </c>
      <c r="K35" s="198">
        <f t="shared" si="0"/>
        <v>56.142857142857139</v>
      </c>
      <c r="L35" s="23"/>
      <c r="M35" s="23"/>
      <c r="N35" s="198"/>
      <c r="O35" s="23">
        <f t="shared" si="1"/>
        <v>2800</v>
      </c>
      <c r="P35" s="23">
        <f t="shared" si="2"/>
        <v>1572</v>
      </c>
      <c r="Q35" s="203">
        <f t="shared" si="3"/>
        <v>56.142857142857139</v>
      </c>
    </row>
    <row r="36" spans="2:17" x14ac:dyDescent="0.2">
      <c r="B36" s="72">
        <f t="shared" si="4"/>
        <v>28</v>
      </c>
      <c r="C36" s="4"/>
      <c r="D36" s="4"/>
      <c r="E36" s="4"/>
      <c r="F36" s="53" t="s">
        <v>214</v>
      </c>
      <c r="G36" s="4">
        <v>635</v>
      </c>
      <c r="H36" s="4" t="s">
        <v>137</v>
      </c>
      <c r="I36" s="23">
        <f>4000-2150</f>
        <v>1850</v>
      </c>
      <c r="J36" s="23">
        <v>1801</v>
      </c>
      <c r="K36" s="198">
        <f t="shared" si="0"/>
        <v>97.351351351351354</v>
      </c>
      <c r="L36" s="23"/>
      <c r="M36" s="23"/>
      <c r="N36" s="198"/>
      <c r="O36" s="23">
        <f t="shared" si="1"/>
        <v>1850</v>
      </c>
      <c r="P36" s="23">
        <f t="shared" si="2"/>
        <v>1801</v>
      </c>
      <c r="Q36" s="203">
        <f t="shared" si="3"/>
        <v>97.351351351351354</v>
      </c>
    </row>
    <row r="37" spans="2:17" x14ac:dyDescent="0.2">
      <c r="B37" s="72">
        <f t="shared" si="4"/>
        <v>29</v>
      </c>
      <c r="C37" s="4"/>
      <c r="D37" s="4"/>
      <c r="E37" s="4"/>
      <c r="F37" s="53" t="s">
        <v>214</v>
      </c>
      <c r="G37" s="4">
        <v>637</v>
      </c>
      <c r="H37" s="4" t="s">
        <v>128</v>
      </c>
      <c r="I37" s="23">
        <f>I38+I39+I40</f>
        <v>135350</v>
      </c>
      <c r="J37" s="23">
        <f>J38+J39+J40</f>
        <v>72263</v>
      </c>
      <c r="K37" s="198">
        <f t="shared" si="0"/>
        <v>53.38973032877724</v>
      </c>
      <c r="L37" s="23"/>
      <c r="M37" s="23"/>
      <c r="N37" s="198"/>
      <c r="O37" s="23">
        <f t="shared" si="1"/>
        <v>135350</v>
      </c>
      <c r="P37" s="23">
        <f t="shared" si="2"/>
        <v>72263</v>
      </c>
      <c r="Q37" s="203">
        <f t="shared" si="3"/>
        <v>53.38973032877724</v>
      </c>
    </row>
    <row r="38" spans="2:17" x14ac:dyDescent="0.2">
      <c r="B38" s="72">
        <f t="shared" si="4"/>
        <v>30</v>
      </c>
      <c r="C38" s="4"/>
      <c r="D38" s="4"/>
      <c r="E38" s="4"/>
      <c r="F38" s="53"/>
      <c r="G38" s="4"/>
      <c r="H38" s="4" t="s">
        <v>351</v>
      </c>
      <c r="I38" s="23">
        <f>25000+25000+6000-650</f>
        <v>55350</v>
      </c>
      <c r="J38" s="23">
        <f>22096+10358</f>
        <v>32454</v>
      </c>
      <c r="K38" s="198">
        <f t="shared" si="0"/>
        <v>58.634146341463413</v>
      </c>
      <c r="L38" s="23"/>
      <c r="M38" s="23"/>
      <c r="N38" s="198"/>
      <c r="O38" s="23">
        <f t="shared" si="1"/>
        <v>55350</v>
      </c>
      <c r="P38" s="23">
        <f t="shared" si="2"/>
        <v>32454</v>
      </c>
      <c r="Q38" s="203">
        <f t="shared" si="3"/>
        <v>58.634146341463413</v>
      </c>
    </row>
    <row r="39" spans="2:17" ht="21.75" customHeight="1" x14ac:dyDescent="0.2">
      <c r="B39" s="72">
        <f t="shared" si="4"/>
        <v>31</v>
      </c>
      <c r="C39" s="75"/>
      <c r="D39" s="75"/>
      <c r="E39" s="75"/>
      <c r="F39" s="76"/>
      <c r="G39" s="75"/>
      <c r="H39" s="77" t="s">
        <v>352</v>
      </c>
      <c r="I39" s="62">
        <v>50000</v>
      </c>
      <c r="J39" s="62">
        <v>39809</v>
      </c>
      <c r="K39" s="198">
        <f t="shared" si="0"/>
        <v>79.617999999999995</v>
      </c>
      <c r="L39" s="62"/>
      <c r="M39" s="62"/>
      <c r="N39" s="198"/>
      <c r="O39" s="62">
        <f t="shared" si="1"/>
        <v>50000</v>
      </c>
      <c r="P39" s="62">
        <f t="shared" si="2"/>
        <v>39809</v>
      </c>
      <c r="Q39" s="203">
        <f t="shared" si="3"/>
        <v>79.617999999999995</v>
      </c>
    </row>
    <row r="40" spans="2:17" x14ac:dyDescent="0.2">
      <c r="B40" s="72">
        <f t="shared" si="4"/>
        <v>32</v>
      </c>
      <c r="C40" s="4"/>
      <c r="D40" s="4"/>
      <c r="E40" s="4"/>
      <c r="F40" s="53"/>
      <c r="G40" s="4"/>
      <c r="H40" s="4" t="s">
        <v>353</v>
      </c>
      <c r="I40" s="23">
        <v>30000</v>
      </c>
      <c r="J40" s="23">
        <v>0</v>
      </c>
      <c r="K40" s="198">
        <f t="shared" si="0"/>
        <v>0</v>
      </c>
      <c r="L40" s="23"/>
      <c r="M40" s="23"/>
      <c r="N40" s="198"/>
      <c r="O40" s="23">
        <f t="shared" si="1"/>
        <v>30000</v>
      </c>
      <c r="P40" s="23">
        <f t="shared" si="2"/>
        <v>0</v>
      </c>
      <c r="Q40" s="203">
        <f t="shared" si="3"/>
        <v>0</v>
      </c>
    </row>
    <row r="41" spans="2:17" x14ac:dyDescent="0.2">
      <c r="B41" s="72">
        <f t="shared" si="4"/>
        <v>33</v>
      </c>
      <c r="C41" s="12"/>
      <c r="D41" s="12"/>
      <c r="E41" s="12"/>
      <c r="F41" s="52" t="s">
        <v>214</v>
      </c>
      <c r="G41" s="12">
        <v>710</v>
      </c>
      <c r="H41" s="12" t="s">
        <v>183</v>
      </c>
      <c r="I41" s="49">
        <f>I44+I42</f>
        <v>0</v>
      </c>
      <c r="J41" s="49">
        <f>J44+J42</f>
        <v>0</v>
      </c>
      <c r="K41" s="198"/>
      <c r="L41" s="49">
        <f>L44+L42</f>
        <v>35000</v>
      </c>
      <c r="M41" s="49">
        <f>M44+M42</f>
        <v>31860</v>
      </c>
      <c r="N41" s="198">
        <f t="shared" ref="N41:N47" si="5">M41/L41*100</f>
        <v>91.028571428571425</v>
      </c>
      <c r="O41" s="49">
        <f t="shared" ref="O41:O72" si="6">L41+I41</f>
        <v>35000</v>
      </c>
      <c r="P41" s="49">
        <f t="shared" ref="P41:P72" si="7">M41+J41</f>
        <v>31860</v>
      </c>
      <c r="Q41" s="203">
        <f t="shared" ref="Q41:Q60" si="8">P41/O41*100</f>
        <v>91.028571428571425</v>
      </c>
    </row>
    <row r="42" spans="2:17" x14ac:dyDescent="0.2">
      <c r="B42" s="72">
        <f t="shared" si="4"/>
        <v>34</v>
      </c>
      <c r="C42" s="4"/>
      <c r="D42" s="4"/>
      <c r="E42" s="4"/>
      <c r="F42" s="82" t="s">
        <v>214</v>
      </c>
      <c r="G42" s="83">
        <v>711</v>
      </c>
      <c r="H42" s="83" t="s">
        <v>222</v>
      </c>
      <c r="I42" s="84"/>
      <c r="J42" s="84"/>
      <c r="K42" s="198"/>
      <c r="L42" s="84">
        <f>L43</f>
        <v>15000</v>
      </c>
      <c r="M42" s="84">
        <f>M43</f>
        <v>15000</v>
      </c>
      <c r="N42" s="198">
        <f t="shared" si="5"/>
        <v>100</v>
      </c>
      <c r="O42" s="84">
        <f t="shared" si="6"/>
        <v>15000</v>
      </c>
      <c r="P42" s="84">
        <f t="shared" si="7"/>
        <v>15000</v>
      </c>
      <c r="Q42" s="203">
        <f t="shared" si="8"/>
        <v>100</v>
      </c>
    </row>
    <row r="43" spans="2:17" ht="23.25" customHeight="1" x14ac:dyDescent="0.2">
      <c r="B43" s="72">
        <f t="shared" ref="B43:B51" si="9">B42+1</f>
        <v>35</v>
      </c>
      <c r="C43" s="75"/>
      <c r="D43" s="75"/>
      <c r="E43" s="75"/>
      <c r="F43" s="76"/>
      <c r="G43" s="75"/>
      <c r="H43" s="77" t="s">
        <v>354</v>
      </c>
      <c r="I43" s="62"/>
      <c r="J43" s="62"/>
      <c r="K43" s="198"/>
      <c r="L43" s="62">
        <f>25000-10000</f>
        <v>15000</v>
      </c>
      <c r="M43" s="62">
        <v>15000</v>
      </c>
      <c r="N43" s="198">
        <f t="shared" si="5"/>
        <v>100</v>
      </c>
      <c r="O43" s="62">
        <f t="shared" si="6"/>
        <v>15000</v>
      </c>
      <c r="P43" s="62">
        <f t="shared" si="7"/>
        <v>15000</v>
      </c>
      <c r="Q43" s="203">
        <f t="shared" si="8"/>
        <v>100</v>
      </c>
    </row>
    <row r="44" spans="2:17" x14ac:dyDescent="0.2">
      <c r="B44" s="72">
        <f t="shared" si="9"/>
        <v>36</v>
      </c>
      <c r="C44" s="4"/>
      <c r="D44" s="4"/>
      <c r="E44" s="4"/>
      <c r="F44" s="82" t="s">
        <v>214</v>
      </c>
      <c r="G44" s="83">
        <v>716</v>
      </c>
      <c r="H44" s="83" t="s">
        <v>0</v>
      </c>
      <c r="I44" s="84"/>
      <c r="J44" s="84"/>
      <c r="K44" s="198"/>
      <c r="L44" s="84">
        <f>SUM(L45:L46)</f>
        <v>20000</v>
      </c>
      <c r="M44" s="84">
        <f>SUM(M45:M46)</f>
        <v>16860</v>
      </c>
      <c r="N44" s="198">
        <f t="shared" si="5"/>
        <v>84.3</v>
      </c>
      <c r="O44" s="84">
        <f t="shared" si="6"/>
        <v>20000</v>
      </c>
      <c r="P44" s="84">
        <f t="shared" si="7"/>
        <v>16860</v>
      </c>
      <c r="Q44" s="203">
        <f t="shared" si="8"/>
        <v>84.3</v>
      </c>
    </row>
    <row r="45" spans="2:17" x14ac:dyDescent="0.2">
      <c r="B45" s="72">
        <f t="shared" si="9"/>
        <v>37</v>
      </c>
      <c r="C45" s="4"/>
      <c r="D45" s="55"/>
      <c r="E45" s="4"/>
      <c r="F45" s="53"/>
      <c r="G45" s="4"/>
      <c r="H45" s="35" t="s">
        <v>330</v>
      </c>
      <c r="I45" s="23"/>
      <c r="J45" s="23"/>
      <c r="K45" s="198"/>
      <c r="L45" s="23">
        <v>10000</v>
      </c>
      <c r="M45" s="23">
        <v>6900</v>
      </c>
      <c r="N45" s="198">
        <f t="shared" si="5"/>
        <v>69</v>
      </c>
      <c r="O45" s="23">
        <f t="shared" si="6"/>
        <v>10000</v>
      </c>
      <c r="P45" s="23">
        <f t="shared" si="7"/>
        <v>6900</v>
      </c>
      <c r="Q45" s="203">
        <f t="shared" si="8"/>
        <v>69</v>
      </c>
    </row>
    <row r="46" spans="2:17" x14ac:dyDescent="0.2">
      <c r="B46" s="72">
        <f t="shared" si="9"/>
        <v>38</v>
      </c>
      <c r="C46" s="4"/>
      <c r="D46" s="55"/>
      <c r="E46" s="4"/>
      <c r="F46" s="53"/>
      <c r="G46" s="4"/>
      <c r="H46" s="35" t="s">
        <v>432</v>
      </c>
      <c r="I46" s="23"/>
      <c r="J46" s="23"/>
      <c r="K46" s="198"/>
      <c r="L46" s="23">
        <v>10000</v>
      </c>
      <c r="M46" s="23">
        <v>9960</v>
      </c>
      <c r="N46" s="198">
        <f t="shared" si="5"/>
        <v>99.6</v>
      </c>
      <c r="O46" s="23">
        <f t="shared" si="6"/>
        <v>10000</v>
      </c>
      <c r="P46" s="23">
        <f t="shared" si="7"/>
        <v>9960</v>
      </c>
      <c r="Q46" s="203">
        <f t="shared" si="8"/>
        <v>99.6</v>
      </c>
    </row>
    <row r="47" spans="2:17" ht="15" x14ac:dyDescent="0.2">
      <c r="B47" s="72">
        <f t="shared" si="9"/>
        <v>39</v>
      </c>
      <c r="C47" s="9">
        <v>3</v>
      </c>
      <c r="D47" s="257" t="s">
        <v>140</v>
      </c>
      <c r="E47" s="253"/>
      <c r="F47" s="253"/>
      <c r="G47" s="253"/>
      <c r="H47" s="254"/>
      <c r="I47" s="45">
        <f>I49+I55+I48</f>
        <v>41750</v>
      </c>
      <c r="J47" s="45">
        <f>J49+J55+J48</f>
        <v>5782</v>
      </c>
      <c r="K47" s="198">
        <f t="shared" ref="K47:K54" si="10">J47/I47*100</f>
        <v>13.849101796407185</v>
      </c>
      <c r="L47" s="45">
        <f>L49+L55</f>
        <v>57470</v>
      </c>
      <c r="M47" s="45">
        <f>M49+M55</f>
        <v>1000</v>
      </c>
      <c r="N47" s="198">
        <f t="shared" si="5"/>
        <v>1.7400382808421786</v>
      </c>
      <c r="O47" s="45">
        <f t="shared" si="6"/>
        <v>99220</v>
      </c>
      <c r="P47" s="45">
        <f t="shared" si="7"/>
        <v>6782</v>
      </c>
      <c r="Q47" s="203">
        <f t="shared" si="8"/>
        <v>6.8353154605926223</v>
      </c>
    </row>
    <row r="48" spans="2:17" x14ac:dyDescent="0.2">
      <c r="B48" s="72">
        <f t="shared" si="9"/>
        <v>40</v>
      </c>
      <c r="C48" s="12"/>
      <c r="D48" s="12"/>
      <c r="E48" s="12"/>
      <c r="F48" s="52" t="s">
        <v>73</v>
      </c>
      <c r="G48" s="12">
        <v>620</v>
      </c>
      <c r="H48" s="12" t="s">
        <v>130</v>
      </c>
      <c r="I48" s="49">
        <v>5500</v>
      </c>
      <c r="J48" s="49">
        <v>127</v>
      </c>
      <c r="K48" s="198">
        <f t="shared" si="10"/>
        <v>2.3090909090909091</v>
      </c>
      <c r="L48" s="49">
        <f>L52+L51+L50+L49+L53</f>
        <v>0</v>
      </c>
      <c r="M48" s="49">
        <f>M52+M51+M50+M49+M53</f>
        <v>0</v>
      </c>
      <c r="N48" s="198"/>
      <c r="O48" s="49">
        <f t="shared" si="6"/>
        <v>5500</v>
      </c>
      <c r="P48" s="49">
        <f t="shared" si="7"/>
        <v>127</v>
      </c>
      <c r="Q48" s="203">
        <f t="shared" si="8"/>
        <v>2.3090909090909091</v>
      </c>
    </row>
    <row r="49" spans="2:17" x14ac:dyDescent="0.2">
      <c r="B49" s="72">
        <f t="shared" si="9"/>
        <v>41</v>
      </c>
      <c r="C49" s="12"/>
      <c r="D49" s="12"/>
      <c r="E49" s="12"/>
      <c r="F49" s="52" t="s">
        <v>73</v>
      </c>
      <c r="G49" s="12">
        <v>630</v>
      </c>
      <c r="H49" s="12" t="s">
        <v>127</v>
      </c>
      <c r="I49" s="49">
        <f>I53+I52+I51+I50+I54</f>
        <v>36250</v>
      </c>
      <c r="J49" s="49">
        <f>J53+J52+J51+J50+J54</f>
        <v>5655</v>
      </c>
      <c r="K49" s="198">
        <f t="shared" si="10"/>
        <v>15.6</v>
      </c>
      <c r="L49" s="49">
        <f>L53+L52+L51+L50+L54</f>
        <v>0</v>
      </c>
      <c r="M49" s="49">
        <f>M53+M52+M51+M50+M54</f>
        <v>0</v>
      </c>
      <c r="N49" s="198"/>
      <c r="O49" s="49">
        <f t="shared" si="6"/>
        <v>36250</v>
      </c>
      <c r="P49" s="49">
        <f t="shared" si="7"/>
        <v>5655</v>
      </c>
      <c r="Q49" s="203">
        <f t="shared" si="8"/>
        <v>15.6</v>
      </c>
    </row>
    <row r="50" spans="2:17" x14ac:dyDescent="0.2">
      <c r="B50" s="72">
        <f t="shared" si="9"/>
        <v>42</v>
      </c>
      <c r="C50" s="4"/>
      <c r="D50" s="4"/>
      <c r="E50" s="4"/>
      <c r="F50" s="53" t="s">
        <v>73</v>
      </c>
      <c r="G50" s="4">
        <v>631</v>
      </c>
      <c r="H50" s="4" t="s">
        <v>133</v>
      </c>
      <c r="I50" s="23">
        <v>1000</v>
      </c>
      <c r="J50" s="23">
        <v>0</v>
      </c>
      <c r="K50" s="198">
        <f t="shared" si="10"/>
        <v>0</v>
      </c>
      <c r="L50" s="23"/>
      <c r="M50" s="23"/>
      <c r="N50" s="198"/>
      <c r="O50" s="23">
        <f t="shared" si="6"/>
        <v>1000</v>
      </c>
      <c r="P50" s="23">
        <f t="shared" si="7"/>
        <v>0</v>
      </c>
      <c r="Q50" s="203">
        <f t="shared" si="8"/>
        <v>0</v>
      </c>
    </row>
    <row r="51" spans="2:17" x14ac:dyDescent="0.2">
      <c r="B51" s="72">
        <f t="shared" si="9"/>
        <v>43</v>
      </c>
      <c r="C51" s="4"/>
      <c r="D51" s="4"/>
      <c r="E51" s="4"/>
      <c r="F51" s="53" t="s">
        <v>73</v>
      </c>
      <c r="G51" s="4">
        <v>633</v>
      </c>
      <c r="H51" s="4" t="s">
        <v>131</v>
      </c>
      <c r="I51" s="23">
        <v>1500</v>
      </c>
      <c r="J51" s="23">
        <v>25</v>
      </c>
      <c r="K51" s="198">
        <f t="shared" si="10"/>
        <v>1.6666666666666667</v>
      </c>
      <c r="L51" s="23"/>
      <c r="M51" s="23"/>
      <c r="N51" s="198"/>
      <c r="O51" s="23">
        <f t="shared" si="6"/>
        <v>1500</v>
      </c>
      <c r="P51" s="23">
        <f t="shared" si="7"/>
        <v>25</v>
      </c>
      <c r="Q51" s="203">
        <f t="shared" si="8"/>
        <v>1.6666666666666667</v>
      </c>
    </row>
    <row r="52" spans="2:17" x14ac:dyDescent="0.2">
      <c r="B52" s="72">
        <f t="shared" ref="B52:B71" si="11">B51+1</f>
        <v>44</v>
      </c>
      <c r="C52" s="4"/>
      <c r="D52" s="4"/>
      <c r="E52" s="4"/>
      <c r="F52" s="53" t="s">
        <v>73</v>
      </c>
      <c r="G52" s="4">
        <v>636</v>
      </c>
      <c r="H52" s="4" t="s">
        <v>132</v>
      </c>
      <c r="I52" s="58">
        <v>500</v>
      </c>
      <c r="J52" s="58">
        <v>0</v>
      </c>
      <c r="K52" s="198">
        <f t="shared" si="10"/>
        <v>0</v>
      </c>
      <c r="L52" s="23"/>
      <c r="M52" s="23"/>
      <c r="N52" s="198"/>
      <c r="O52" s="23">
        <f t="shared" si="6"/>
        <v>500</v>
      </c>
      <c r="P52" s="23">
        <f t="shared" si="7"/>
        <v>0</v>
      </c>
      <c r="Q52" s="203">
        <f t="shared" si="8"/>
        <v>0</v>
      </c>
    </row>
    <row r="53" spans="2:17" x14ac:dyDescent="0.2">
      <c r="B53" s="72">
        <f t="shared" si="11"/>
        <v>45</v>
      </c>
      <c r="C53" s="4"/>
      <c r="D53" s="4"/>
      <c r="E53" s="4"/>
      <c r="F53" s="53" t="s">
        <v>73</v>
      </c>
      <c r="G53" s="4">
        <v>637</v>
      </c>
      <c r="H53" s="4" t="s">
        <v>128</v>
      </c>
      <c r="I53" s="58">
        <f>56500-20000-5500-7210-540-10000</f>
        <v>13250</v>
      </c>
      <c r="J53" s="58">
        <f>5630-J54</f>
        <v>2525</v>
      </c>
      <c r="K53" s="198">
        <f t="shared" si="10"/>
        <v>19.056603773584907</v>
      </c>
      <c r="L53" s="23"/>
      <c r="M53" s="23"/>
      <c r="N53" s="198"/>
      <c r="O53" s="23">
        <f t="shared" si="6"/>
        <v>13250</v>
      </c>
      <c r="P53" s="23">
        <f t="shared" si="7"/>
        <v>2525</v>
      </c>
      <c r="Q53" s="203">
        <f t="shared" si="8"/>
        <v>19.056603773584907</v>
      </c>
    </row>
    <row r="54" spans="2:17" x14ac:dyDescent="0.2">
      <c r="B54" s="72">
        <f t="shared" si="11"/>
        <v>46</v>
      </c>
      <c r="C54" s="4"/>
      <c r="D54" s="4"/>
      <c r="E54" s="4"/>
      <c r="F54" s="53" t="s">
        <v>73</v>
      </c>
      <c r="G54" s="4">
        <v>637</v>
      </c>
      <c r="H54" s="4" t="s">
        <v>79</v>
      </c>
      <c r="I54" s="58">
        <v>20000</v>
      </c>
      <c r="J54" s="58">
        <v>3105</v>
      </c>
      <c r="K54" s="198">
        <f t="shared" si="10"/>
        <v>15.525</v>
      </c>
      <c r="L54" s="23"/>
      <c r="M54" s="23"/>
      <c r="N54" s="198"/>
      <c r="O54" s="23">
        <f t="shared" si="6"/>
        <v>20000</v>
      </c>
      <c r="P54" s="23">
        <f t="shared" si="7"/>
        <v>3105</v>
      </c>
      <c r="Q54" s="203">
        <f t="shared" si="8"/>
        <v>15.525</v>
      </c>
    </row>
    <row r="55" spans="2:17" x14ac:dyDescent="0.2">
      <c r="B55" s="72">
        <f t="shared" si="11"/>
        <v>47</v>
      </c>
      <c r="C55" s="12"/>
      <c r="D55" s="12"/>
      <c r="E55" s="12"/>
      <c r="F55" s="52" t="s">
        <v>73</v>
      </c>
      <c r="G55" s="12">
        <v>710</v>
      </c>
      <c r="H55" s="12" t="s">
        <v>183</v>
      </c>
      <c r="I55" s="49">
        <f>I58+I56</f>
        <v>0</v>
      </c>
      <c r="J55" s="49">
        <f>J58+J56</f>
        <v>0</v>
      </c>
      <c r="K55" s="198"/>
      <c r="L55" s="49">
        <f>L58+L56</f>
        <v>57470</v>
      </c>
      <c r="M55" s="49">
        <f>M58+M56</f>
        <v>1000</v>
      </c>
      <c r="N55" s="198">
        <f t="shared" ref="N55:N60" si="12">M55/L55*100</f>
        <v>1.7400382808421786</v>
      </c>
      <c r="O55" s="49">
        <f t="shared" si="6"/>
        <v>57470</v>
      </c>
      <c r="P55" s="49">
        <f t="shared" si="7"/>
        <v>1000</v>
      </c>
      <c r="Q55" s="203">
        <f t="shared" si="8"/>
        <v>1.7400382808421786</v>
      </c>
    </row>
    <row r="56" spans="2:17" x14ac:dyDescent="0.2">
      <c r="B56" s="72">
        <f t="shared" si="11"/>
        <v>48</v>
      </c>
      <c r="C56" s="4"/>
      <c r="D56" s="4"/>
      <c r="E56" s="4"/>
      <c r="F56" s="82" t="s">
        <v>73</v>
      </c>
      <c r="G56" s="83">
        <v>716</v>
      </c>
      <c r="H56" s="83" t="s">
        <v>0</v>
      </c>
      <c r="I56" s="84"/>
      <c r="J56" s="84"/>
      <c r="K56" s="198"/>
      <c r="L56" s="84">
        <f>L57</f>
        <v>28220</v>
      </c>
      <c r="M56" s="84">
        <f>M57</f>
        <v>0</v>
      </c>
      <c r="N56" s="198">
        <f t="shared" si="12"/>
        <v>0</v>
      </c>
      <c r="O56" s="84">
        <f t="shared" si="6"/>
        <v>28220</v>
      </c>
      <c r="P56" s="84">
        <f t="shared" si="7"/>
        <v>0</v>
      </c>
      <c r="Q56" s="203">
        <f t="shared" si="8"/>
        <v>0</v>
      </c>
    </row>
    <row r="57" spans="2:17" x14ac:dyDescent="0.2">
      <c r="B57" s="72">
        <f t="shared" si="11"/>
        <v>49</v>
      </c>
      <c r="C57" s="4"/>
      <c r="D57" s="4"/>
      <c r="E57" s="4"/>
      <c r="F57" s="53"/>
      <c r="G57" s="4"/>
      <c r="H57" s="4" t="s">
        <v>461</v>
      </c>
      <c r="I57" s="23"/>
      <c r="J57" s="23"/>
      <c r="K57" s="198"/>
      <c r="L57" s="23">
        <f>48000-10800-28980+20000</f>
        <v>28220</v>
      </c>
      <c r="M57" s="23"/>
      <c r="N57" s="198">
        <f t="shared" si="12"/>
        <v>0</v>
      </c>
      <c r="O57" s="23">
        <f t="shared" si="6"/>
        <v>28220</v>
      </c>
      <c r="P57" s="23">
        <f t="shared" si="7"/>
        <v>0</v>
      </c>
      <c r="Q57" s="203">
        <f t="shared" si="8"/>
        <v>0</v>
      </c>
    </row>
    <row r="58" spans="2:17" x14ac:dyDescent="0.2">
      <c r="B58" s="72">
        <f t="shared" si="11"/>
        <v>50</v>
      </c>
      <c r="C58" s="4"/>
      <c r="D58" s="4"/>
      <c r="E58" s="4"/>
      <c r="F58" s="82" t="s">
        <v>73</v>
      </c>
      <c r="G58" s="83">
        <v>717</v>
      </c>
      <c r="H58" s="83" t="s">
        <v>193</v>
      </c>
      <c r="I58" s="84"/>
      <c r="J58" s="84"/>
      <c r="K58" s="198"/>
      <c r="L58" s="84">
        <f>SUM(L59:L60)</f>
        <v>29250</v>
      </c>
      <c r="M58" s="84">
        <f>SUM(M59:M60)</f>
        <v>1000</v>
      </c>
      <c r="N58" s="198">
        <f t="shared" si="12"/>
        <v>3.4188034188034191</v>
      </c>
      <c r="O58" s="84">
        <f t="shared" si="6"/>
        <v>29250</v>
      </c>
      <c r="P58" s="84">
        <f t="shared" si="7"/>
        <v>1000</v>
      </c>
      <c r="Q58" s="203">
        <f t="shared" si="8"/>
        <v>3.4188034188034191</v>
      </c>
    </row>
    <row r="59" spans="2:17" x14ac:dyDescent="0.2">
      <c r="B59" s="72">
        <f t="shared" si="11"/>
        <v>51</v>
      </c>
      <c r="C59" s="4"/>
      <c r="D59" s="55"/>
      <c r="E59" s="4"/>
      <c r="F59" s="53"/>
      <c r="G59" s="4"/>
      <c r="H59" s="35" t="s">
        <v>462</v>
      </c>
      <c r="I59" s="23"/>
      <c r="J59" s="23"/>
      <c r="K59" s="198"/>
      <c r="L59" s="23">
        <f>150000+55000-33000-81150-63000</f>
        <v>27850</v>
      </c>
      <c r="M59" s="23"/>
      <c r="N59" s="198">
        <f t="shared" si="12"/>
        <v>0</v>
      </c>
      <c r="O59" s="23">
        <f t="shared" si="6"/>
        <v>27850</v>
      </c>
      <c r="P59" s="23">
        <f t="shared" si="7"/>
        <v>0</v>
      </c>
      <c r="Q59" s="203">
        <f t="shared" si="8"/>
        <v>0</v>
      </c>
    </row>
    <row r="60" spans="2:17" x14ac:dyDescent="0.2">
      <c r="B60" s="72">
        <f t="shared" si="11"/>
        <v>52</v>
      </c>
      <c r="C60" s="4"/>
      <c r="D60" s="55"/>
      <c r="E60" s="4"/>
      <c r="F60" s="53"/>
      <c r="G60" s="4"/>
      <c r="H60" s="122" t="s">
        <v>331</v>
      </c>
      <c r="I60" s="123"/>
      <c r="J60" s="123"/>
      <c r="K60" s="198"/>
      <c r="L60" s="123">
        <f>100000-98600</f>
        <v>1400</v>
      </c>
      <c r="M60" s="123">
        <v>1000</v>
      </c>
      <c r="N60" s="198">
        <f t="shared" si="12"/>
        <v>71.428571428571431</v>
      </c>
      <c r="O60" s="123">
        <f t="shared" si="6"/>
        <v>1400</v>
      </c>
      <c r="P60" s="123">
        <f t="shared" si="7"/>
        <v>1000</v>
      </c>
      <c r="Q60" s="203">
        <f t="shared" si="8"/>
        <v>71.428571428571431</v>
      </c>
    </row>
    <row r="61" spans="2:17" ht="15" x14ac:dyDescent="0.2">
      <c r="B61" s="72">
        <f t="shared" si="11"/>
        <v>53</v>
      </c>
      <c r="C61" s="9">
        <v>4</v>
      </c>
      <c r="D61" s="257" t="s">
        <v>464</v>
      </c>
      <c r="E61" s="253"/>
      <c r="F61" s="253"/>
      <c r="G61" s="253"/>
      <c r="H61" s="254"/>
      <c r="I61" s="45">
        <v>0</v>
      </c>
      <c r="J61" s="45">
        <v>0</v>
      </c>
      <c r="K61" s="198"/>
      <c r="L61" s="45">
        <f t="shared" ref="L61:M64" si="13">L62+L63</f>
        <v>0</v>
      </c>
      <c r="M61" s="45">
        <f t="shared" si="13"/>
        <v>0</v>
      </c>
      <c r="N61" s="198"/>
      <c r="O61" s="45">
        <f t="shared" si="6"/>
        <v>0</v>
      </c>
      <c r="P61" s="45">
        <f t="shared" si="7"/>
        <v>0</v>
      </c>
      <c r="Q61" s="203">
        <v>0</v>
      </c>
    </row>
    <row r="62" spans="2:17" ht="15" x14ac:dyDescent="0.2">
      <c r="B62" s="72">
        <f t="shared" si="11"/>
        <v>54</v>
      </c>
      <c r="C62" s="9">
        <v>5</v>
      </c>
      <c r="D62" s="257" t="s">
        <v>465</v>
      </c>
      <c r="E62" s="253"/>
      <c r="F62" s="253"/>
      <c r="G62" s="253"/>
      <c r="H62" s="254"/>
      <c r="I62" s="45">
        <v>0</v>
      </c>
      <c r="J62" s="45">
        <v>0</v>
      </c>
      <c r="K62" s="198"/>
      <c r="L62" s="45">
        <f t="shared" si="13"/>
        <v>0</v>
      </c>
      <c r="M62" s="45">
        <f t="shared" si="13"/>
        <v>0</v>
      </c>
      <c r="N62" s="198"/>
      <c r="O62" s="45">
        <f t="shared" si="6"/>
        <v>0</v>
      </c>
      <c r="P62" s="45">
        <f t="shared" si="7"/>
        <v>0</v>
      </c>
      <c r="Q62" s="203">
        <v>0</v>
      </c>
    </row>
    <row r="63" spans="2:17" ht="15" x14ac:dyDescent="0.2">
      <c r="B63" s="72">
        <f t="shared" si="11"/>
        <v>55</v>
      </c>
      <c r="C63" s="9">
        <v>6</v>
      </c>
      <c r="D63" s="257" t="s">
        <v>466</v>
      </c>
      <c r="E63" s="253"/>
      <c r="F63" s="253"/>
      <c r="G63" s="253"/>
      <c r="H63" s="254"/>
      <c r="I63" s="45">
        <v>0</v>
      </c>
      <c r="J63" s="45">
        <v>0</v>
      </c>
      <c r="K63" s="198"/>
      <c r="L63" s="45">
        <f t="shared" si="13"/>
        <v>0</v>
      </c>
      <c r="M63" s="45">
        <f t="shared" si="13"/>
        <v>0</v>
      </c>
      <c r="N63" s="198"/>
      <c r="O63" s="45">
        <f t="shared" si="6"/>
        <v>0</v>
      </c>
      <c r="P63" s="45">
        <f t="shared" si="7"/>
        <v>0</v>
      </c>
      <c r="Q63" s="203">
        <v>0</v>
      </c>
    </row>
    <row r="64" spans="2:17" ht="15" x14ac:dyDescent="0.2">
      <c r="B64" s="72">
        <f t="shared" si="11"/>
        <v>56</v>
      </c>
      <c r="C64" s="9">
        <v>7</v>
      </c>
      <c r="D64" s="257" t="s">
        <v>35</v>
      </c>
      <c r="E64" s="253"/>
      <c r="F64" s="253"/>
      <c r="G64" s="253"/>
      <c r="H64" s="254"/>
      <c r="I64" s="45">
        <f>I65+I66</f>
        <v>70310</v>
      </c>
      <c r="J64" s="45">
        <f>J65+J66</f>
        <v>68325</v>
      </c>
      <c r="K64" s="198">
        <f t="shared" ref="K64:K72" si="14">J64/I64*100</f>
        <v>97.176788508035841</v>
      </c>
      <c r="L64" s="45">
        <f t="shared" si="13"/>
        <v>0</v>
      </c>
      <c r="M64" s="45">
        <f t="shared" si="13"/>
        <v>0</v>
      </c>
      <c r="N64" s="198"/>
      <c r="O64" s="45">
        <f t="shared" si="6"/>
        <v>70310</v>
      </c>
      <c r="P64" s="45">
        <f t="shared" si="7"/>
        <v>68325</v>
      </c>
      <c r="Q64" s="203">
        <f t="shared" ref="Q64:Q72" si="15">P64/O64*100</f>
        <v>97.176788508035841</v>
      </c>
    </row>
    <row r="65" spans="2:17" x14ac:dyDescent="0.2">
      <c r="B65" s="72">
        <f t="shared" si="11"/>
        <v>57</v>
      </c>
      <c r="C65" s="12"/>
      <c r="D65" s="12"/>
      <c r="E65" s="12"/>
      <c r="F65" s="52" t="s">
        <v>73</v>
      </c>
      <c r="G65" s="12">
        <v>620</v>
      </c>
      <c r="H65" s="12" t="s">
        <v>130</v>
      </c>
      <c r="I65" s="49">
        <f>6600+960</f>
        <v>7560</v>
      </c>
      <c r="J65" s="49">
        <v>7358</v>
      </c>
      <c r="K65" s="198">
        <f t="shared" si="14"/>
        <v>97.328042328042329</v>
      </c>
      <c r="L65" s="49"/>
      <c r="M65" s="49"/>
      <c r="N65" s="198"/>
      <c r="O65" s="49">
        <f t="shared" si="6"/>
        <v>7560</v>
      </c>
      <c r="P65" s="49">
        <f t="shared" si="7"/>
        <v>7358</v>
      </c>
      <c r="Q65" s="203">
        <f t="shared" si="15"/>
        <v>97.328042328042329</v>
      </c>
    </row>
    <row r="66" spans="2:17" x14ac:dyDescent="0.2">
      <c r="B66" s="72">
        <f t="shared" si="11"/>
        <v>58</v>
      </c>
      <c r="C66" s="12"/>
      <c r="D66" s="12"/>
      <c r="E66" s="12"/>
      <c r="F66" s="52" t="s">
        <v>73</v>
      </c>
      <c r="G66" s="12">
        <v>630</v>
      </c>
      <c r="H66" s="12" t="s">
        <v>127</v>
      </c>
      <c r="I66" s="49">
        <f>SUM(I67:I69)</f>
        <v>62750</v>
      </c>
      <c r="J66" s="49">
        <f>SUM(J67:J69)</f>
        <v>60967</v>
      </c>
      <c r="K66" s="198">
        <f t="shared" si="14"/>
        <v>97.158565737051788</v>
      </c>
      <c r="L66" s="49">
        <f>SUM(L67:L69)</f>
        <v>0</v>
      </c>
      <c r="M66" s="49">
        <f>SUM(M67:M69)</f>
        <v>0</v>
      </c>
      <c r="N66" s="198"/>
      <c r="O66" s="49">
        <f t="shared" si="6"/>
        <v>62750</v>
      </c>
      <c r="P66" s="49">
        <f t="shared" si="7"/>
        <v>60967</v>
      </c>
      <c r="Q66" s="203">
        <f t="shared" si="15"/>
        <v>97.158565737051788</v>
      </c>
    </row>
    <row r="67" spans="2:17" x14ac:dyDescent="0.2">
      <c r="B67" s="72">
        <f t="shared" si="11"/>
        <v>59</v>
      </c>
      <c r="C67" s="4"/>
      <c r="D67" s="4"/>
      <c r="E67" s="4"/>
      <c r="F67" s="53" t="s">
        <v>73</v>
      </c>
      <c r="G67" s="4">
        <v>632</v>
      </c>
      <c r="H67" s="4" t="s">
        <v>138</v>
      </c>
      <c r="I67" s="23">
        <v>20000</v>
      </c>
      <c r="J67" s="23">
        <v>19945</v>
      </c>
      <c r="K67" s="198">
        <f t="shared" si="14"/>
        <v>99.724999999999994</v>
      </c>
      <c r="L67" s="23"/>
      <c r="M67" s="23"/>
      <c r="N67" s="198"/>
      <c r="O67" s="23">
        <f t="shared" si="6"/>
        <v>20000</v>
      </c>
      <c r="P67" s="23">
        <f t="shared" si="7"/>
        <v>19945</v>
      </c>
      <c r="Q67" s="203">
        <f t="shared" si="15"/>
        <v>99.724999999999994</v>
      </c>
    </row>
    <row r="68" spans="2:17" x14ac:dyDescent="0.2">
      <c r="B68" s="72">
        <f t="shared" si="11"/>
        <v>60</v>
      </c>
      <c r="C68" s="4"/>
      <c r="D68" s="4"/>
      <c r="E68" s="4"/>
      <c r="F68" s="53" t="s">
        <v>73</v>
      </c>
      <c r="G68" s="4">
        <v>633</v>
      </c>
      <c r="H68" s="4" t="s">
        <v>131</v>
      </c>
      <c r="I68" s="23">
        <v>5500</v>
      </c>
      <c r="J68" s="23">
        <v>3822</v>
      </c>
      <c r="K68" s="198">
        <f t="shared" si="14"/>
        <v>69.490909090909099</v>
      </c>
      <c r="L68" s="23"/>
      <c r="M68" s="23"/>
      <c r="N68" s="198"/>
      <c r="O68" s="23">
        <f t="shared" si="6"/>
        <v>5500</v>
      </c>
      <c r="P68" s="23">
        <f t="shared" si="7"/>
        <v>3822</v>
      </c>
      <c r="Q68" s="203">
        <f t="shared" si="15"/>
        <v>69.490909090909099</v>
      </c>
    </row>
    <row r="69" spans="2:17" x14ac:dyDescent="0.2">
      <c r="B69" s="72">
        <f t="shared" si="11"/>
        <v>61</v>
      </c>
      <c r="C69" s="4"/>
      <c r="D69" s="55"/>
      <c r="E69" s="4"/>
      <c r="F69" s="53" t="s">
        <v>73</v>
      </c>
      <c r="G69" s="4">
        <v>637</v>
      </c>
      <c r="H69" s="4" t="s">
        <v>128</v>
      </c>
      <c r="I69" s="58">
        <f>20000+6000+8500+2750</f>
        <v>37250</v>
      </c>
      <c r="J69" s="58">
        <f>28920+8280</f>
        <v>37200</v>
      </c>
      <c r="K69" s="198">
        <f t="shared" si="14"/>
        <v>99.865771812080538</v>
      </c>
      <c r="L69" s="23"/>
      <c r="M69" s="23"/>
      <c r="N69" s="198"/>
      <c r="O69" s="23">
        <f t="shared" si="6"/>
        <v>37250</v>
      </c>
      <c r="P69" s="23">
        <f t="shared" si="7"/>
        <v>37200</v>
      </c>
      <c r="Q69" s="203">
        <f t="shared" si="15"/>
        <v>99.865771812080538</v>
      </c>
    </row>
    <row r="70" spans="2:17" ht="15" x14ac:dyDescent="0.2">
      <c r="B70" s="72">
        <f t="shared" si="11"/>
        <v>62</v>
      </c>
      <c r="C70" s="9">
        <v>8</v>
      </c>
      <c r="D70" s="257" t="s">
        <v>231</v>
      </c>
      <c r="E70" s="253"/>
      <c r="F70" s="253"/>
      <c r="G70" s="253"/>
      <c r="H70" s="254"/>
      <c r="I70" s="45">
        <f>I71</f>
        <v>16000</v>
      </c>
      <c r="J70" s="45">
        <f>J71</f>
        <v>14976</v>
      </c>
      <c r="K70" s="198">
        <f t="shared" si="14"/>
        <v>93.600000000000009</v>
      </c>
      <c r="L70" s="45">
        <f>L71</f>
        <v>0</v>
      </c>
      <c r="M70" s="45">
        <f>M71</f>
        <v>0</v>
      </c>
      <c r="N70" s="198"/>
      <c r="O70" s="45">
        <f t="shared" si="6"/>
        <v>16000</v>
      </c>
      <c r="P70" s="45">
        <f t="shared" si="7"/>
        <v>14976</v>
      </c>
      <c r="Q70" s="203">
        <f t="shared" si="15"/>
        <v>93.600000000000009</v>
      </c>
    </row>
    <row r="71" spans="2:17" x14ac:dyDescent="0.2">
      <c r="B71" s="72">
        <f t="shared" si="11"/>
        <v>63</v>
      </c>
      <c r="C71" s="12"/>
      <c r="D71" s="12"/>
      <c r="E71" s="12"/>
      <c r="F71" s="52" t="s">
        <v>149</v>
      </c>
      <c r="G71" s="12">
        <v>640</v>
      </c>
      <c r="H71" s="12" t="s">
        <v>134</v>
      </c>
      <c r="I71" s="49">
        <v>16000</v>
      </c>
      <c r="J71" s="49">
        <v>14976</v>
      </c>
      <c r="K71" s="198">
        <f t="shared" si="14"/>
        <v>93.600000000000009</v>
      </c>
      <c r="L71" s="49"/>
      <c r="M71" s="49"/>
      <c r="N71" s="198"/>
      <c r="O71" s="49">
        <f t="shared" si="6"/>
        <v>16000</v>
      </c>
      <c r="P71" s="49">
        <f t="shared" si="7"/>
        <v>14976</v>
      </c>
      <c r="Q71" s="203">
        <f t="shared" si="15"/>
        <v>93.600000000000009</v>
      </c>
    </row>
    <row r="72" spans="2:17" ht="15" x14ac:dyDescent="0.2">
      <c r="B72" s="72">
        <f>B71+1</f>
        <v>64</v>
      </c>
      <c r="C72" s="9">
        <v>9</v>
      </c>
      <c r="D72" s="257" t="s">
        <v>187</v>
      </c>
      <c r="E72" s="253"/>
      <c r="F72" s="253"/>
      <c r="G72" s="253"/>
      <c r="H72" s="254"/>
      <c r="I72" s="45">
        <v>44273</v>
      </c>
      <c r="J72" s="45">
        <v>44304</v>
      </c>
      <c r="K72" s="198">
        <f t="shared" si="14"/>
        <v>100.07002010254557</v>
      </c>
      <c r="L72" s="45">
        <v>0</v>
      </c>
      <c r="M72" s="45"/>
      <c r="N72" s="198"/>
      <c r="O72" s="45">
        <f t="shared" si="6"/>
        <v>44273</v>
      </c>
      <c r="P72" s="45">
        <f t="shared" si="7"/>
        <v>44304</v>
      </c>
      <c r="Q72" s="203">
        <f t="shared" si="15"/>
        <v>100.07002010254557</v>
      </c>
    </row>
  </sheetData>
  <mergeCells count="33">
    <mergeCell ref="D47:H47"/>
    <mergeCell ref="D64:H64"/>
    <mergeCell ref="D70:H70"/>
    <mergeCell ref="D72:H72"/>
    <mergeCell ref="D61:H61"/>
    <mergeCell ref="D62:H62"/>
    <mergeCell ref="D63:H63"/>
    <mergeCell ref="E24:H24"/>
    <mergeCell ref="E27:H27"/>
    <mergeCell ref="D32:H32"/>
    <mergeCell ref="L5:L8"/>
    <mergeCell ref="B3:O3"/>
    <mergeCell ref="B5:B8"/>
    <mergeCell ref="C5:C8"/>
    <mergeCell ref="C9:H9"/>
    <mergeCell ref="O4:O8"/>
    <mergeCell ref="B4:L4"/>
    <mergeCell ref="G5:G8"/>
    <mergeCell ref="H5:H8"/>
    <mergeCell ref="J5:J8"/>
    <mergeCell ref="K5:K8"/>
    <mergeCell ref="I5:I8"/>
    <mergeCell ref="D5:D8"/>
    <mergeCell ref="P4:P8"/>
    <mergeCell ref="Q4:Q8"/>
    <mergeCell ref="M5:M8"/>
    <mergeCell ref="N5:N8"/>
    <mergeCell ref="E21:H21"/>
    <mergeCell ref="E18:H18"/>
    <mergeCell ref="E11:H11"/>
    <mergeCell ref="F5:F8"/>
    <mergeCell ref="D10:H10"/>
    <mergeCell ref="E5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0"/>
  <sheetViews>
    <sheetView zoomScale="90" zoomScaleNormal="90" workbookViewId="0"/>
  </sheetViews>
  <sheetFormatPr defaultRowHeight="12.75" x14ac:dyDescent="0.2"/>
  <cols>
    <col min="2" max="2" width="4.42578125" customWidth="1"/>
    <col min="3" max="3" width="4.28515625" customWidth="1"/>
    <col min="4" max="4" width="3" customWidth="1"/>
    <col min="5" max="5" width="5.5703125" customWidth="1"/>
    <col min="6" max="6" width="5.85546875" customWidth="1"/>
    <col min="7" max="7" width="5.5703125" customWidth="1"/>
    <col min="8" max="8" width="34.42578125" customWidth="1"/>
    <col min="9" max="9" width="11.5703125" customWidth="1"/>
    <col min="10" max="10" width="14.7109375" customWidth="1"/>
    <col min="11" max="11" width="6.42578125" customWidth="1"/>
    <col min="12" max="12" width="12.140625" customWidth="1"/>
    <col min="13" max="13" width="11.7109375" customWidth="1"/>
    <col min="14" max="14" width="6.140625" customWidth="1"/>
    <col min="15" max="15" width="11" customWidth="1"/>
    <col min="16" max="16" width="10.5703125" customWidth="1"/>
    <col min="17" max="17" width="7.7109375" customWidth="1"/>
  </cols>
  <sheetData>
    <row r="4" spans="2:17" ht="27" x14ac:dyDescent="0.35">
      <c r="B4" s="264" t="s">
        <v>282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2:17" x14ac:dyDescent="0.2">
      <c r="B5" s="271" t="s">
        <v>280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5"/>
      <c r="O5" s="261" t="s">
        <v>575</v>
      </c>
      <c r="P5" s="250" t="s">
        <v>768</v>
      </c>
      <c r="Q5" s="251" t="s">
        <v>765</v>
      </c>
    </row>
    <row r="6" spans="2:17" x14ac:dyDescent="0.2">
      <c r="B6" s="266" t="s">
        <v>111</v>
      </c>
      <c r="C6" s="255" t="s">
        <v>119</v>
      </c>
      <c r="D6" s="255" t="s">
        <v>120</v>
      </c>
      <c r="E6" s="258" t="s">
        <v>124</v>
      </c>
      <c r="F6" s="255" t="s">
        <v>121</v>
      </c>
      <c r="G6" s="255" t="s">
        <v>122</v>
      </c>
      <c r="H6" s="273" t="s">
        <v>123</v>
      </c>
      <c r="I6" s="261" t="s">
        <v>572</v>
      </c>
      <c r="J6" s="250" t="s">
        <v>766</v>
      </c>
      <c r="K6" s="251" t="s">
        <v>765</v>
      </c>
      <c r="L6" s="261" t="s">
        <v>573</v>
      </c>
      <c r="M6" s="250" t="s">
        <v>767</v>
      </c>
      <c r="N6" s="251" t="s">
        <v>765</v>
      </c>
      <c r="O6" s="262"/>
      <c r="P6" s="250"/>
      <c r="Q6" s="251"/>
    </row>
    <row r="7" spans="2:17" x14ac:dyDescent="0.2">
      <c r="B7" s="266"/>
      <c r="C7" s="255"/>
      <c r="D7" s="255"/>
      <c r="E7" s="259"/>
      <c r="F7" s="255"/>
      <c r="G7" s="255"/>
      <c r="H7" s="273"/>
      <c r="I7" s="262"/>
      <c r="J7" s="250"/>
      <c r="K7" s="251"/>
      <c r="L7" s="262"/>
      <c r="M7" s="250"/>
      <c r="N7" s="251"/>
      <c r="O7" s="262"/>
      <c r="P7" s="250"/>
      <c r="Q7" s="251"/>
    </row>
    <row r="8" spans="2:17" x14ac:dyDescent="0.2">
      <c r="B8" s="266"/>
      <c r="C8" s="255"/>
      <c r="D8" s="255"/>
      <c r="E8" s="259"/>
      <c r="F8" s="255"/>
      <c r="G8" s="255"/>
      <c r="H8" s="273"/>
      <c r="I8" s="262"/>
      <c r="J8" s="250"/>
      <c r="K8" s="251"/>
      <c r="L8" s="262"/>
      <c r="M8" s="250"/>
      <c r="N8" s="251"/>
      <c r="O8" s="262"/>
      <c r="P8" s="250"/>
      <c r="Q8" s="251"/>
    </row>
    <row r="9" spans="2:17" ht="13.5" thickBot="1" x14ac:dyDescent="0.25">
      <c r="B9" s="267"/>
      <c r="C9" s="256"/>
      <c r="D9" s="256"/>
      <c r="E9" s="260"/>
      <c r="F9" s="256"/>
      <c r="G9" s="256"/>
      <c r="H9" s="274"/>
      <c r="I9" s="263"/>
      <c r="J9" s="250"/>
      <c r="K9" s="251"/>
      <c r="L9" s="263"/>
      <c r="M9" s="250"/>
      <c r="N9" s="251"/>
      <c r="O9" s="263"/>
      <c r="P9" s="250"/>
      <c r="Q9" s="251"/>
    </row>
    <row r="10" spans="2:17" ht="16.5" thickTop="1" x14ac:dyDescent="0.2">
      <c r="B10" s="71">
        <v>1</v>
      </c>
      <c r="C10" s="268" t="s">
        <v>282</v>
      </c>
      <c r="D10" s="269"/>
      <c r="E10" s="269"/>
      <c r="F10" s="269"/>
      <c r="G10" s="269"/>
      <c r="H10" s="270"/>
      <c r="I10" s="100">
        <f>I16+I11</f>
        <v>85138</v>
      </c>
      <c r="J10" s="100">
        <f>J16+J11</f>
        <v>70827</v>
      </c>
      <c r="K10" s="198">
        <f t="shared" ref="K10:K20" si="0">J10/I10*100</f>
        <v>83.190819610514694</v>
      </c>
      <c r="L10" s="100">
        <f>L16+L11</f>
        <v>0</v>
      </c>
      <c r="M10" s="100">
        <f>M16+M11</f>
        <v>0</v>
      </c>
      <c r="N10" s="195"/>
      <c r="O10" s="44">
        <f t="shared" ref="O10:O20" si="1">I10+L10</f>
        <v>85138</v>
      </c>
      <c r="P10" s="44">
        <f t="shared" ref="P10:P20" si="2">J10+M10</f>
        <v>70827</v>
      </c>
      <c r="Q10" s="203">
        <f t="shared" ref="Q10:Q20" si="3">P10/O10*100</f>
        <v>83.190819610514694</v>
      </c>
    </row>
    <row r="11" spans="2:17" ht="15" x14ac:dyDescent="0.2">
      <c r="B11" s="72">
        <f t="shared" ref="B11:B20" si="4">B10+1</f>
        <v>2</v>
      </c>
      <c r="C11" s="179">
        <v>1</v>
      </c>
      <c r="D11" s="257" t="s">
        <v>207</v>
      </c>
      <c r="E11" s="253"/>
      <c r="F11" s="253"/>
      <c r="G11" s="253"/>
      <c r="H11" s="254"/>
      <c r="I11" s="45">
        <f>I12</f>
        <v>53620</v>
      </c>
      <c r="J11" s="45">
        <f>J12</f>
        <v>40034</v>
      </c>
      <c r="K11" s="198">
        <f t="shared" si="0"/>
        <v>74.66243938828795</v>
      </c>
      <c r="L11" s="45">
        <f>L12</f>
        <v>0</v>
      </c>
      <c r="M11" s="45">
        <f>M12</f>
        <v>0</v>
      </c>
      <c r="N11" s="195"/>
      <c r="O11" s="45">
        <f t="shared" si="1"/>
        <v>53620</v>
      </c>
      <c r="P11" s="45">
        <f t="shared" si="2"/>
        <v>40034</v>
      </c>
      <c r="Q11" s="203">
        <f t="shared" si="3"/>
        <v>74.66243938828795</v>
      </c>
    </row>
    <row r="12" spans="2:17" x14ac:dyDescent="0.2">
      <c r="B12" s="72">
        <f t="shared" si="4"/>
        <v>3</v>
      </c>
      <c r="C12" s="12"/>
      <c r="D12" s="12"/>
      <c r="E12" s="12"/>
      <c r="F12" s="52"/>
      <c r="G12" s="12">
        <v>630</v>
      </c>
      <c r="H12" s="12" t="s">
        <v>127</v>
      </c>
      <c r="I12" s="49">
        <f>SUM(I13:I15)</f>
        <v>53620</v>
      </c>
      <c r="J12" s="49">
        <f>SUM(J13:J15)</f>
        <v>40034</v>
      </c>
      <c r="K12" s="198">
        <f t="shared" si="0"/>
        <v>74.66243938828795</v>
      </c>
      <c r="L12" s="49">
        <f>SUM(L13:L15)</f>
        <v>0</v>
      </c>
      <c r="M12" s="49">
        <f>SUM(M13:M15)</f>
        <v>0</v>
      </c>
      <c r="N12" s="195"/>
      <c r="O12" s="49">
        <f t="shared" si="1"/>
        <v>53620</v>
      </c>
      <c r="P12" s="49">
        <f t="shared" si="2"/>
        <v>40034</v>
      </c>
      <c r="Q12" s="203">
        <f t="shared" si="3"/>
        <v>74.66243938828795</v>
      </c>
    </row>
    <row r="13" spans="2:17" x14ac:dyDescent="0.2">
      <c r="B13" s="72">
        <f t="shared" si="4"/>
        <v>4</v>
      </c>
      <c r="C13" s="4"/>
      <c r="D13" s="4"/>
      <c r="E13" s="4"/>
      <c r="F13" s="64" t="s">
        <v>32</v>
      </c>
      <c r="G13" s="60">
        <v>637</v>
      </c>
      <c r="H13" s="60" t="s">
        <v>477</v>
      </c>
      <c r="I13" s="58">
        <f>8500-880</f>
        <v>7620</v>
      </c>
      <c r="J13" s="58">
        <v>7284</v>
      </c>
      <c r="K13" s="198">
        <f t="shared" si="0"/>
        <v>95.590551181102356</v>
      </c>
      <c r="L13" s="23"/>
      <c r="M13" s="23"/>
      <c r="N13" s="195"/>
      <c r="O13" s="23">
        <f t="shared" si="1"/>
        <v>7620</v>
      </c>
      <c r="P13" s="23">
        <f t="shared" si="2"/>
        <v>7284</v>
      </c>
      <c r="Q13" s="203">
        <f t="shared" si="3"/>
        <v>95.590551181102356</v>
      </c>
    </row>
    <row r="14" spans="2:17" x14ac:dyDescent="0.2">
      <c r="B14" s="72">
        <f t="shared" si="4"/>
        <v>5</v>
      </c>
      <c r="C14" s="4"/>
      <c r="D14" s="4"/>
      <c r="E14" s="4"/>
      <c r="F14" s="64" t="s">
        <v>73</v>
      </c>
      <c r="G14" s="60">
        <v>637</v>
      </c>
      <c r="H14" s="60" t="s">
        <v>478</v>
      </c>
      <c r="I14" s="58">
        <f>20000-5000+7000</f>
        <v>22000</v>
      </c>
      <c r="J14" s="58">
        <f>23001+330-J13+312</f>
        <v>16359</v>
      </c>
      <c r="K14" s="198">
        <f t="shared" si="0"/>
        <v>74.359090909090909</v>
      </c>
      <c r="L14" s="23"/>
      <c r="M14" s="23"/>
      <c r="N14" s="73"/>
      <c r="O14" s="23">
        <f t="shared" si="1"/>
        <v>22000</v>
      </c>
      <c r="P14" s="23">
        <f t="shared" si="2"/>
        <v>16359</v>
      </c>
      <c r="Q14" s="203">
        <f t="shared" si="3"/>
        <v>74.359090909090909</v>
      </c>
    </row>
    <row r="15" spans="2:17" x14ac:dyDescent="0.2">
      <c r="B15" s="72">
        <f t="shared" si="4"/>
        <v>6</v>
      </c>
      <c r="C15" s="4"/>
      <c r="D15" s="55"/>
      <c r="E15" s="4"/>
      <c r="F15" s="56" t="s">
        <v>2</v>
      </c>
      <c r="G15" s="4">
        <v>637</v>
      </c>
      <c r="H15" s="35" t="s">
        <v>418</v>
      </c>
      <c r="I15" s="23">
        <f>23000+5000+2000-6000</f>
        <v>24000</v>
      </c>
      <c r="J15" s="23">
        <f>16703-312</f>
        <v>16391</v>
      </c>
      <c r="K15" s="198">
        <f t="shared" si="0"/>
        <v>68.295833333333334</v>
      </c>
      <c r="L15" s="23"/>
      <c r="M15" s="23"/>
      <c r="N15" s="73"/>
      <c r="O15" s="23">
        <f t="shared" si="1"/>
        <v>24000</v>
      </c>
      <c r="P15" s="23">
        <f t="shared" si="2"/>
        <v>16391</v>
      </c>
      <c r="Q15" s="203">
        <f t="shared" si="3"/>
        <v>68.295833333333334</v>
      </c>
    </row>
    <row r="16" spans="2:17" ht="15" x14ac:dyDescent="0.2">
      <c r="B16" s="72">
        <f t="shared" si="4"/>
        <v>7</v>
      </c>
      <c r="C16" s="179">
        <v>2</v>
      </c>
      <c r="D16" s="257" t="s">
        <v>33</v>
      </c>
      <c r="E16" s="253"/>
      <c r="F16" s="253"/>
      <c r="G16" s="253"/>
      <c r="H16" s="254"/>
      <c r="I16" s="45">
        <f>I17+I19</f>
        <v>31518</v>
      </c>
      <c r="J16" s="45">
        <f>J17+J19</f>
        <v>30793</v>
      </c>
      <c r="K16" s="198">
        <f t="shared" si="0"/>
        <v>97.69972714004696</v>
      </c>
      <c r="L16" s="45">
        <f>L17</f>
        <v>0</v>
      </c>
      <c r="M16" s="45">
        <f>M17</f>
        <v>0</v>
      </c>
      <c r="N16" s="195"/>
      <c r="O16" s="45">
        <f t="shared" si="1"/>
        <v>31518</v>
      </c>
      <c r="P16" s="45">
        <f t="shared" si="2"/>
        <v>30793</v>
      </c>
      <c r="Q16" s="203">
        <f t="shared" si="3"/>
        <v>97.69972714004696</v>
      </c>
    </row>
    <row r="17" spans="2:17" x14ac:dyDescent="0.2">
      <c r="B17" s="72">
        <f t="shared" si="4"/>
        <v>8</v>
      </c>
      <c r="C17" s="12"/>
      <c r="D17" s="12"/>
      <c r="E17" s="12"/>
      <c r="F17" s="52" t="s">
        <v>32</v>
      </c>
      <c r="G17" s="12">
        <v>630</v>
      </c>
      <c r="H17" s="12" t="s">
        <v>127</v>
      </c>
      <c r="I17" s="49">
        <f>I18</f>
        <v>8000</v>
      </c>
      <c r="J17" s="49">
        <f>J18</f>
        <v>7275</v>
      </c>
      <c r="K17" s="198">
        <f t="shared" si="0"/>
        <v>90.9375</v>
      </c>
      <c r="L17" s="49">
        <f>L18</f>
        <v>0</v>
      </c>
      <c r="M17" s="49">
        <f>M18</f>
        <v>0</v>
      </c>
      <c r="N17" s="113"/>
      <c r="O17" s="49">
        <f t="shared" si="1"/>
        <v>8000</v>
      </c>
      <c r="P17" s="49">
        <f t="shared" si="2"/>
        <v>7275</v>
      </c>
      <c r="Q17" s="203">
        <f t="shared" si="3"/>
        <v>90.9375</v>
      </c>
    </row>
    <row r="18" spans="2:17" x14ac:dyDescent="0.2">
      <c r="B18" s="72">
        <f t="shared" si="4"/>
        <v>9</v>
      </c>
      <c r="C18" s="4"/>
      <c r="D18" s="4"/>
      <c r="E18" s="4"/>
      <c r="F18" s="53" t="s">
        <v>32</v>
      </c>
      <c r="G18" s="4">
        <v>637</v>
      </c>
      <c r="H18" s="4" t="s">
        <v>128</v>
      </c>
      <c r="I18" s="23">
        <v>8000</v>
      </c>
      <c r="J18" s="23">
        <v>7275</v>
      </c>
      <c r="K18" s="198">
        <f t="shared" si="0"/>
        <v>90.9375</v>
      </c>
      <c r="L18" s="23"/>
      <c r="M18" s="23"/>
      <c r="N18" s="73"/>
      <c r="O18" s="23">
        <f t="shared" si="1"/>
        <v>8000</v>
      </c>
      <c r="P18" s="23">
        <f t="shared" si="2"/>
        <v>7275</v>
      </c>
      <c r="Q18" s="203">
        <f t="shared" si="3"/>
        <v>90.9375</v>
      </c>
    </row>
    <row r="19" spans="2:17" x14ac:dyDescent="0.2">
      <c r="B19" s="72">
        <f t="shared" si="4"/>
        <v>10</v>
      </c>
      <c r="C19" s="4"/>
      <c r="D19" s="4"/>
      <c r="E19" s="4"/>
      <c r="F19" s="96" t="s">
        <v>32</v>
      </c>
      <c r="G19" s="3">
        <v>640</v>
      </c>
      <c r="H19" s="3" t="s">
        <v>134</v>
      </c>
      <c r="I19" s="22">
        <f>I20</f>
        <v>23518</v>
      </c>
      <c r="J19" s="22">
        <f>J20</f>
        <v>23518</v>
      </c>
      <c r="K19" s="198">
        <f t="shared" si="0"/>
        <v>100</v>
      </c>
      <c r="L19" s="22"/>
      <c r="M19" s="22"/>
      <c r="N19" s="113"/>
      <c r="O19" s="22">
        <f t="shared" si="1"/>
        <v>23518</v>
      </c>
      <c r="P19" s="22">
        <f t="shared" si="2"/>
        <v>23518</v>
      </c>
      <c r="Q19" s="203">
        <f t="shared" si="3"/>
        <v>100</v>
      </c>
    </row>
    <row r="20" spans="2:17" x14ac:dyDescent="0.2">
      <c r="B20" s="72">
        <f t="shared" si="4"/>
        <v>11</v>
      </c>
      <c r="C20" s="4"/>
      <c r="D20" s="4"/>
      <c r="E20" s="4"/>
      <c r="F20" s="53"/>
      <c r="G20" s="4"/>
      <c r="H20" s="4" t="s">
        <v>420</v>
      </c>
      <c r="I20" s="23">
        <f>19000+15000-9700-5300+4518</f>
        <v>23518</v>
      </c>
      <c r="J20" s="23">
        <v>23518</v>
      </c>
      <c r="K20" s="198">
        <f t="shared" si="0"/>
        <v>100</v>
      </c>
      <c r="L20" s="23"/>
      <c r="M20" s="23"/>
      <c r="N20" s="73"/>
      <c r="O20" s="23">
        <f t="shared" si="1"/>
        <v>23518</v>
      </c>
      <c r="P20" s="23">
        <f t="shared" si="2"/>
        <v>23518</v>
      </c>
      <c r="Q20" s="203">
        <f t="shared" si="3"/>
        <v>100</v>
      </c>
    </row>
  </sheetData>
  <mergeCells count="21">
    <mergeCell ref="B4:O4"/>
    <mergeCell ref="O5:O9"/>
    <mergeCell ref="B6:B9"/>
    <mergeCell ref="C6:C9"/>
    <mergeCell ref="D6:D9"/>
    <mergeCell ref="E6:E9"/>
    <mergeCell ref="F6:F9"/>
    <mergeCell ref="G6:G9"/>
    <mergeCell ref="H6:H9"/>
    <mergeCell ref="B5:N5"/>
    <mergeCell ref="D16:H16"/>
    <mergeCell ref="M6:M9"/>
    <mergeCell ref="N6:N9"/>
    <mergeCell ref="P5:P9"/>
    <mergeCell ref="Q5:Q9"/>
    <mergeCell ref="I6:I9"/>
    <mergeCell ref="L6:L9"/>
    <mergeCell ref="C10:H10"/>
    <mergeCell ref="J6:J9"/>
    <mergeCell ref="K6:K9"/>
    <mergeCell ref="D11:H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91"/>
  <sheetViews>
    <sheetView zoomScale="90" zoomScaleNormal="90" workbookViewId="0"/>
  </sheetViews>
  <sheetFormatPr defaultRowHeight="12.75" x14ac:dyDescent="0.2"/>
  <cols>
    <col min="2" max="2" width="6.28515625" customWidth="1"/>
    <col min="3" max="3" width="3.5703125" customWidth="1"/>
    <col min="4" max="4" width="6.42578125" customWidth="1"/>
    <col min="5" max="5" width="6.7109375" customWidth="1"/>
    <col min="6" max="6" width="5.7109375" customWidth="1"/>
    <col min="7" max="7" width="5" customWidth="1"/>
    <col min="8" max="8" width="41.85546875" customWidth="1"/>
    <col min="9" max="9" width="11.5703125" customWidth="1"/>
    <col min="10" max="10" width="11.85546875" customWidth="1"/>
    <col min="11" max="11" width="6.42578125" customWidth="1"/>
    <col min="12" max="12" width="13.140625" customWidth="1"/>
    <col min="13" max="13" width="11.42578125" customWidth="1"/>
    <col min="14" max="14" width="6.140625" customWidth="1"/>
    <col min="15" max="15" width="12.28515625" customWidth="1"/>
    <col min="16" max="16" width="12.42578125" customWidth="1"/>
    <col min="17" max="17" width="7.42578125" customWidth="1"/>
  </cols>
  <sheetData>
    <row r="3" spans="2:17" ht="27" x14ac:dyDescent="0.35">
      <c r="B3" s="264" t="s">
        <v>283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2:17" x14ac:dyDescent="0.2">
      <c r="B4" s="271" t="s">
        <v>280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5"/>
      <c r="O4" s="261" t="s">
        <v>575</v>
      </c>
      <c r="P4" s="250" t="s">
        <v>768</v>
      </c>
      <c r="Q4" s="251" t="s">
        <v>765</v>
      </c>
    </row>
    <row r="5" spans="2:17" x14ac:dyDescent="0.2">
      <c r="B5" s="266" t="s">
        <v>111</v>
      </c>
      <c r="C5" s="255" t="s">
        <v>119</v>
      </c>
      <c r="D5" s="255" t="s">
        <v>120</v>
      </c>
      <c r="E5" s="258" t="s">
        <v>124</v>
      </c>
      <c r="F5" s="255" t="s">
        <v>121</v>
      </c>
      <c r="G5" s="255" t="s">
        <v>122</v>
      </c>
      <c r="H5" s="273" t="s">
        <v>123</v>
      </c>
      <c r="I5" s="261" t="s">
        <v>572</v>
      </c>
      <c r="J5" s="250" t="s">
        <v>766</v>
      </c>
      <c r="K5" s="251" t="s">
        <v>765</v>
      </c>
      <c r="L5" s="261" t="s">
        <v>573</v>
      </c>
      <c r="M5" s="250" t="s">
        <v>767</v>
      </c>
      <c r="N5" s="251" t="s">
        <v>765</v>
      </c>
      <c r="O5" s="262"/>
      <c r="P5" s="250"/>
      <c r="Q5" s="251"/>
    </row>
    <row r="6" spans="2:17" x14ac:dyDescent="0.2">
      <c r="B6" s="266"/>
      <c r="C6" s="255"/>
      <c r="D6" s="255"/>
      <c r="E6" s="259"/>
      <c r="F6" s="255"/>
      <c r="G6" s="255"/>
      <c r="H6" s="273"/>
      <c r="I6" s="262"/>
      <c r="J6" s="250"/>
      <c r="K6" s="251"/>
      <c r="L6" s="262"/>
      <c r="M6" s="250"/>
      <c r="N6" s="251"/>
      <c r="O6" s="262"/>
      <c r="P6" s="250"/>
      <c r="Q6" s="251"/>
    </row>
    <row r="7" spans="2:17" x14ac:dyDescent="0.2">
      <c r="B7" s="266"/>
      <c r="C7" s="255"/>
      <c r="D7" s="255"/>
      <c r="E7" s="259"/>
      <c r="F7" s="255"/>
      <c r="G7" s="255"/>
      <c r="H7" s="273"/>
      <c r="I7" s="262"/>
      <c r="J7" s="250"/>
      <c r="K7" s="251"/>
      <c r="L7" s="262"/>
      <c r="M7" s="250"/>
      <c r="N7" s="251"/>
      <c r="O7" s="262"/>
      <c r="P7" s="250"/>
      <c r="Q7" s="251"/>
    </row>
    <row r="8" spans="2:17" ht="13.5" thickBot="1" x14ac:dyDescent="0.25">
      <c r="B8" s="267"/>
      <c r="C8" s="256"/>
      <c r="D8" s="256"/>
      <c r="E8" s="260"/>
      <c r="F8" s="256"/>
      <c r="G8" s="256"/>
      <c r="H8" s="274"/>
      <c r="I8" s="263"/>
      <c r="J8" s="250"/>
      <c r="K8" s="251"/>
      <c r="L8" s="263"/>
      <c r="M8" s="250"/>
      <c r="N8" s="251"/>
      <c r="O8" s="263"/>
      <c r="P8" s="250"/>
      <c r="Q8" s="251"/>
    </row>
    <row r="9" spans="2:17" ht="16.5" thickTop="1" x14ac:dyDescent="0.2">
      <c r="B9" s="71">
        <v>1</v>
      </c>
      <c r="C9" s="268" t="s">
        <v>283</v>
      </c>
      <c r="D9" s="269"/>
      <c r="E9" s="269"/>
      <c r="F9" s="269"/>
      <c r="G9" s="269"/>
      <c r="H9" s="270"/>
      <c r="I9" s="100">
        <f>I88+I78+I74+I59+I33+I29+I13+I10</f>
        <v>3692575</v>
      </c>
      <c r="J9" s="100">
        <f>J88+J78+J74+J59+J33+J29+J13+J10</f>
        <v>3387627</v>
      </c>
      <c r="K9" s="198">
        <f t="shared" ref="K9:K20" si="0">J9/I9*100</f>
        <v>91.741589541173838</v>
      </c>
      <c r="L9" s="100">
        <f>L88+L78+L74+L59+L33+L29+L13+L10</f>
        <v>423830</v>
      </c>
      <c r="M9" s="100">
        <f>M88+M78+M74+M59+M33+M29+M13+M10</f>
        <v>241270</v>
      </c>
      <c r="N9" s="198">
        <f>M9/L9*100</f>
        <v>56.926126041101391</v>
      </c>
      <c r="O9" s="44">
        <f t="shared" ref="O9:O37" si="1">I9+L9</f>
        <v>4116405</v>
      </c>
      <c r="P9" s="44">
        <f t="shared" ref="P9:P37" si="2">J9+M9</f>
        <v>3628897</v>
      </c>
      <c r="Q9" s="203">
        <f t="shared" ref="Q9:Q37" si="3">P9/O9*100</f>
        <v>88.15694762784517</v>
      </c>
    </row>
    <row r="10" spans="2:17" ht="15" x14ac:dyDescent="0.2">
      <c r="B10" s="72">
        <f t="shared" ref="B10:B15" si="4">B9+1</f>
        <v>2</v>
      </c>
      <c r="C10" s="179">
        <v>1</v>
      </c>
      <c r="D10" s="257" t="s">
        <v>148</v>
      </c>
      <c r="E10" s="253"/>
      <c r="F10" s="253"/>
      <c r="G10" s="253"/>
      <c r="H10" s="254"/>
      <c r="I10" s="45">
        <f>I11</f>
        <v>55400</v>
      </c>
      <c r="J10" s="45">
        <f>J11</f>
        <v>39565</v>
      </c>
      <c r="K10" s="198">
        <f t="shared" si="0"/>
        <v>71.41696750902527</v>
      </c>
      <c r="L10" s="45">
        <f>L11</f>
        <v>0</v>
      </c>
      <c r="M10" s="45">
        <f>M11</f>
        <v>0</v>
      </c>
      <c r="N10" s="198"/>
      <c r="O10" s="45">
        <f t="shared" si="1"/>
        <v>55400</v>
      </c>
      <c r="P10" s="45">
        <f t="shared" si="2"/>
        <v>39565</v>
      </c>
      <c r="Q10" s="203">
        <f t="shared" si="3"/>
        <v>71.41696750902527</v>
      </c>
    </row>
    <row r="11" spans="2:17" x14ac:dyDescent="0.2">
      <c r="B11" s="72">
        <f t="shared" si="4"/>
        <v>3</v>
      </c>
      <c r="C11" s="12"/>
      <c r="D11" s="12"/>
      <c r="E11" s="12"/>
      <c r="F11" s="52" t="s">
        <v>73</v>
      </c>
      <c r="G11" s="12">
        <v>630</v>
      </c>
      <c r="H11" s="12" t="s">
        <v>127</v>
      </c>
      <c r="I11" s="49">
        <f>I12</f>
        <v>55400</v>
      </c>
      <c r="J11" s="49">
        <f>J12</f>
        <v>39565</v>
      </c>
      <c r="K11" s="198">
        <f t="shared" si="0"/>
        <v>71.41696750902527</v>
      </c>
      <c r="L11" s="49">
        <f>L12</f>
        <v>0</v>
      </c>
      <c r="M11" s="49">
        <f>M12</f>
        <v>0</v>
      </c>
      <c r="N11" s="198"/>
      <c r="O11" s="49">
        <f t="shared" si="1"/>
        <v>55400</v>
      </c>
      <c r="P11" s="49">
        <f t="shared" si="2"/>
        <v>39565</v>
      </c>
      <c r="Q11" s="203">
        <f t="shared" si="3"/>
        <v>71.41696750902527</v>
      </c>
    </row>
    <row r="12" spans="2:17" x14ac:dyDescent="0.2">
      <c r="B12" s="72">
        <f t="shared" si="4"/>
        <v>4</v>
      </c>
      <c r="C12" s="4"/>
      <c r="D12" s="4"/>
      <c r="E12" s="4"/>
      <c r="F12" s="53" t="s">
        <v>73</v>
      </c>
      <c r="G12" s="4">
        <v>637</v>
      </c>
      <c r="H12" s="4" t="s">
        <v>128</v>
      </c>
      <c r="I12" s="23">
        <f>73000-17600</f>
        <v>55400</v>
      </c>
      <c r="J12" s="23">
        <v>39565</v>
      </c>
      <c r="K12" s="198">
        <f t="shared" si="0"/>
        <v>71.41696750902527</v>
      </c>
      <c r="L12" s="23"/>
      <c r="M12" s="23"/>
      <c r="N12" s="198"/>
      <c r="O12" s="23">
        <f t="shared" si="1"/>
        <v>55400</v>
      </c>
      <c r="P12" s="23">
        <f t="shared" si="2"/>
        <v>39565</v>
      </c>
      <c r="Q12" s="203">
        <f t="shared" si="3"/>
        <v>71.41696750902527</v>
      </c>
    </row>
    <row r="13" spans="2:17" ht="15" x14ac:dyDescent="0.2">
      <c r="B13" s="72">
        <f t="shared" si="4"/>
        <v>5</v>
      </c>
      <c r="C13" s="179">
        <v>2</v>
      </c>
      <c r="D13" s="257" t="s">
        <v>147</v>
      </c>
      <c r="E13" s="253"/>
      <c r="F13" s="253"/>
      <c r="G13" s="253"/>
      <c r="H13" s="254"/>
      <c r="I13" s="45">
        <f>I23+I17+I14</f>
        <v>90570</v>
      </c>
      <c r="J13" s="45">
        <f>J23+J17+J14</f>
        <v>83571</v>
      </c>
      <c r="K13" s="198">
        <f t="shared" si="0"/>
        <v>92.272275587943028</v>
      </c>
      <c r="L13" s="45">
        <f>L23+L17+L14</f>
        <v>139010</v>
      </c>
      <c r="M13" s="45">
        <f>M23+M17+M14</f>
        <v>100245</v>
      </c>
      <c r="N13" s="198">
        <f>M13/L13*100</f>
        <v>72.113517013164525</v>
      </c>
      <c r="O13" s="45">
        <f t="shared" si="1"/>
        <v>229580</v>
      </c>
      <c r="P13" s="45">
        <f t="shared" si="2"/>
        <v>183816</v>
      </c>
      <c r="Q13" s="203">
        <f t="shared" si="3"/>
        <v>80.066207857827337</v>
      </c>
    </row>
    <row r="14" spans="2:17" ht="15" x14ac:dyDescent="0.25">
      <c r="B14" s="72">
        <f t="shared" si="4"/>
        <v>6</v>
      </c>
      <c r="C14" s="178"/>
      <c r="D14" s="178">
        <v>1</v>
      </c>
      <c r="E14" s="252" t="s">
        <v>153</v>
      </c>
      <c r="F14" s="253"/>
      <c r="G14" s="253"/>
      <c r="H14" s="254"/>
      <c r="I14" s="46">
        <f>I15</f>
        <v>2300</v>
      </c>
      <c r="J14" s="46">
        <f>J15</f>
        <v>1663</v>
      </c>
      <c r="K14" s="198">
        <f t="shared" si="0"/>
        <v>72.304347826086953</v>
      </c>
      <c r="L14" s="46">
        <f>L15</f>
        <v>0</v>
      </c>
      <c r="M14" s="46">
        <f>M15</f>
        <v>0</v>
      </c>
      <c r="N14" s="198"/>
      <c r="O14" s="46">
        <f t="shared" si="1"/>
        <v>2300</v>
      </c>
      <c r="P14" s="46">
        <f t="shared" si="2"/>
        <v>1663</v>
      </c>
      <c r="Q14" s="203">
        <f t="shared" si="3"/>
        <v>72.304347826086953</v>
      </c>
    </row>
    <row r="15" spans="2:17" x14ac:dyDescent="0.2">
      <c r="B15" s="72">
        <f t="shared" si="4"/>
        <v>7</v>
      </c>
      <c r="C15" s="12"/>
      <c r="D15" s="12"/>
      <c r="E15" s="12"/>
      <c r="F15" s="52" t="s">
        <v>73</v>
      </c>
      <c r="G15" s="12">
        <v>630</v>
      </c>
      <c r="H15" s="12" t="s">
        <v>127</v>
      </c>
      <c r="I15" s="49">
        <f>I16</f>
        <v>2300</v>
      </c>
      <c r="J15" s="49">
        <f>J16</f>
        <v>1663</v>
      </c>
      <c r="K15" s="198">
        <f t="shared" si="0"/>
        <v>72.304347826086953</v>
      </c>
      <c r="L15" s="49">
        <f>L16</f>
        <v>0</v>
      </c>
      <c r="M15" s="49">
        <f>M16</f>
        <v>0</v>
      </c>
      <c r="N15" s="198"/>
      <c r="O15" s="49">
        <f t="shared" si="1"/>
        <v>2300</v>
      </c>
      <c r="P15" s="49">
        <f t="shared" si="2"/>
        <v>1663</v>
      </c>
      <c r="Q15" s="203">
        <f t="shared" si="3"/>
        <v>72.304347826086953</v>
      </c>
    </row>
    <row r="16" spans="2:17" x14ac:dyDescent="0.2">
      <c r="B16" s="72">
        <f t="shared" ref="B16:B42" si="5">B15+1</f>
        <v>8</v>
      </c>
      <c r="C16" s="4"/>
      <c r="D16" s="4"/>
      <c r="E16" s="4"/>
      <c r="F16" s="53" t="s">
        <v>73</v>
      </c>
      <c r="G16" s="4">
        <v>637</v>
      </c>
      <c r="H16" s="4" t="s">
        <v>128</v>
      </c>
      <c r="I16" s="23">
        <v>2300</v>
      </c>
      <c r="J16" s="23">
        <v>1663</v>
      </c>
      <c r="K16" s="198">
        <f t="shared" si="0"/>
        <v>72.304347826086953</v>
      </c>
      <c r="L16" s="23"/>
      <c r="M16" s="23"/>
      <c r="N16" s="198"/>
      <c r="O16" s="23">
        <f t="shared" si="1"/>
        <v>2300</v>
      </c>
      <c r="P16" s="23">
        <f t="shared" si="2"/>
        <v>1663</v>
      </c>
      <c r="Q16" s="203">
        <f t="shared" si="3"/>
        <v>72.304347826086953</v>
      </c>
    </row>
    <row r="17" spans="2:17" ht="15" x14ac:dyDescent="0.25">
      <c r="B17" s="72">
        <f t="shared" si="5"/>
        <v>9</v>
      </c>
      <c r="C17" s="178"/>
      <c r="D17" s="178">
        <v>2</v>
      </c>
      <c r="E17" s="252" t="s">
        <v>146</v>
      </c>
      <c r="F17" s="253"/>
      <c r="G17" s="253"/>
      <c r="H17" s="254"/>
      <c r="I17" s="46">
        <f>I18+I21</f>
        <v>16160</v>
      </c>
      <c r="J17" s="46">
        <f>J18+J21</f>
        <v>14071</v>
      </c>
      <c r="K17" s="198">
        <f t="shared" si="0"/>
        <v>87.073019801980195</v>
      </c>
      <c r="L17" s="46">
        <f>L18+L21</f>
        <v>100</v>
      </c>
      <c r="M17" s="46">
        <f>M18+M21</f>
        <v>5</v>
      </c>
      <c r="N17" s="198">
        <f>M17/L17*100</f>
        <v>5</v>
      </c>
      <c r="O17" s="46">
        <f t="shared" si="1"/>
        <v>16260</v>
      </c>
      <c r="P17" s="46">
        <f t="shared" si="2"/>
        <v>14076</v>
      </c>
      <c r="Q17" s="203">
        <f t="shared" si="3"/>
        <v>86.568265682656829</v>
      </c>
    </row>
    <row r="18" spans="2:17" x14ac:dyDescent="0.2">
      <c r="B18" s="72">
        <f t="shared" si="5"/>
        <v>10</v>
      </c>
      <c r="C18" s="12"/>
      <c r="D18" s="12"/>
      <c r="E18" s="12"/>
      <c r="F18" s="52" t="s">
        <v>73</v>
      </c>
      <c r="G18" s="12">
        <v>630</v>
      </c>
      <c r="H18" s="12" t="s">
        <v>127</v>
      </c>
      <c r="I18" s="49">
        <f>I20+I19</f>
        <v>16160</v>
      </c>
      <c r="J18" s="49">
        <f>J20+J19</f>
        <v>14071</v>
      </c>
      <c r="K18" s="198">
        <f t="shared" si="0"/>
        <v>87.073019801980195</v>
      </c>
      <c r="L18" s="49">
        <f>L20+L19</f>
        <v>0</v>
      </c>
      <c r="M18" s="49">
        <f>M20+M19</f>
        <v>0</v>
      </c>
      <c r="N18" s="198"/>
      <c r="O18" s="49">
        <f t="shared" si="1"/>
        <v>16160</v>
      </c>
      <c r="P18" s="49">
        <f t="shared" si="2"/>
        <v>14071</v>
      </c>
      <c r="Q18" s="203">
        <f t="shared" si="3"/>
        <v>87.073019801980195</v>
      </c>
    </row>
    <row r="19" spans="2:17" x14ac:dyDescent="0.2">
      <c r="B19" s="72">
        <f t="shared" si="5"/>
        <v>11</v>
      </c>
      <c r="C19" s="4"/>
      <c r="D19" s="4"/>
      <c r="E19" s="4"/>
      <c r="F19" s="53" t="s">
        <v>73</v>
      </c>
      <c r="G19" s="4">
        <v>636</v>
      </c>
      <c r="H19" s="4" t="s">
        <v>132</v>
      </c>
      <c r="I19" s="23">
        <v>9410</v>
      </c>
      <c r="J19" s="23">
        <v>9408</v>
      </c>
      <c r="K19" s="198">
        <f t="shared" si="0"/>
        <v>99.9787460148778</v>
      </c>
      <c r="L19" s="23"/>
      <c r="M19" s="23"/>
      <c r="N19" s="198"/>
      <c r="O19" s="23">
        <f t="shared" si="1"/>
        <v>9410</v>
      </c>
      <c r="P19" s="23">
        <f t="shared" si="2"/>
        <v>9408</v>
      </c>
      <c r="Q19" s="203">
        <f t="shared" si="3"/>
        <v>99.9787460148778</v>
      </c>
    </row>
    <row r="20" spans="2:17" x14ac:dyDescent="0.2">
      <c r="B20" s="72">
        <f t="shared" si="5"/>
        <v>12</v>
      </c>
      <c r="C20" s="4"/>
      <c r="D20" s="4"/>
      <c r="E20" s="4"/>
      <c r="F20" s="53" t="s">
        <v>73</v>
      </c>
      <c r="G20" s="4">
        <v>637</v>
      </c>
      <c r="H20" s="4" t="s">
        <v>128</v>
      </c>
      <c r="I20" s="23">
        <f>10750-4000</f>
        <v>6750</v>
      </c>
      <c r="J20" s="23">
        <v>4663</v>
      </c>
      <c r="K20" s="198">
        <f t="shared" si="0"/>
        <v>69.081481481481475</v>
      </c>
      <c r="L20" s="23"/>
      <c r="M20" s="23"/>
      <c r="N20" s="198"/>
      <c r="O20" s="23">
        <f t="shared" si="1"/>
        <v>6750</v>
      </c>
      <c r="P20" s="23">
        <f t="shared" si="2"/>
        <v>4663</v>
      </c>
      <c r="Q20" s="203">
        <f t="shared" si="3"/>
        <v>69.081481481481475</v>
      </c>
    </row>
    <row r="21" spans="2:17" x14ac:dyDescent="0.2">
      <c r="B21" s="72">
        <f t="shared" si="5"/>
        <v>13</v>
      </c>
      <c r="C21" s="12"/>
      <c r="D21" s="12"/>
      <c r="E21" s="12"/>
      <c r="F21" s="52" t="s">
        <v>73</v>
      </c>
      <c r="G21" s="12">
        <v>710</v>
      </c>
      <c r="H21" s="12" t="s">
        <v>183</v>
      </c>
      <c r="I21" s="49">
        <f>I22</f>
        <v>0</v>
      </c>
      <c r="J21" s="49">
        <f>J22</f>
        <v>0</v>
      </c>
      <c r="K21" s="198"/>
      <c r="L21" s="49">
        <f>SUM(L22:L22)</f>
        <v>100</v>
      </c>
      <c r="M21" s="49">
        <f>SUM(M22:M22)</f>
        <v>5</v>
      </c>
      <c r="N21" s="198">
        <f>M21/L21*100</f>
        <v>5</v>
      </c>
      <c r="O21" s="49">
        <f t="shared" si="1"/>
        <v>100</v>
      </c>
      <c r="P21" s="49">
        <f t="shared" si="2"/>
        <v>5</v>
      </c>
      <c r="Q21" s="203">
        <f t="shared" si="3"/>
        <v>5</v>
      </c>
    </row>
    <row r="22" spans="2:17" x14ac:dyDescent="0.2">
      <c r="B22" s="72">
        <f t="shared" si="5"/>
        <v>14</v>
      </c>
      <c r="C22" s="4"/>
      <c r="D22" s="4"/>
      <c r="E22" s="4"/>
      <c r="F22" s="82" t="s">
        <v>73</v>
      </c>
      <c r="G22" s="83">
        <v>712</v>
      </c>
      <c r="H22" s="83" t="s">
        <v>243</v>
      </c>
      <c r="I22" s="84"/>
      <c r="J22" s="84"/>
      <c r="K22" s="198"/>
      <c r="L22" s="84">
        <v>100</v>
      </c>
      <c r="M22" s="84">
        <v>5</v>
      </c>
      <c r="N22" s="198">
        <f>M22/L22*100</f>
        <v>5</v>
      </c>
      <c r="O22" s="84">
        <f t="shared" si="1"/>
        <v>100</v>
      </c>
      <c r="P22" s="84">
        <f t="shared" si="2"/>
        <v>5</v>
      </c>
      <c r="Q22" s="203">
        <f t="shared" si="3"/>
        <v>5</v>
      </c>
    </row>
    <row r="23" spans="2:17" ht="15" x14ac:dyDescent="0.25">
      <c r="B23" s="72">
        <f t="shared" si="5"/>
        <v>15</v>
      </c>
      <c r="C23" s="178"/>
      <c r="D23" s="178">
        <v>3</v>
      </c>
      <c r="E23" s="252" t="s">
        <v>219</v>
      </c>
      <c r="F23" s="253"/>
      <c r="G23" s="253"/>
      <c r="H23" s="254"/>
      <c r="I23" s="46">
        <f>I24+I27</f>
        <v>72110</v>
      </c>
      <c r="J23" s="46">
        <f>J24+J27</f>
        <v>67837</v>
      </c>
      <c r="K23" s="198">
        <f>J23/I23*100</f>
        <v>94.074330883372625</v>
      </c>
      <c r="L23" s="46">
        <f>L24+L27</f>
        <v>138910</v>
      </c>
      <c r="M23" s="46">
        <f>M24+M27</f>
        <v>100240</v>
      </c>
      <c r="N23" s="198">
        <f>M23/L23*100</f>
        <v>72.161831401626955</v>
      </c>
      <c r="O23" s="46">
        <f t="shared" si="1"/>
        <v>211020</v>
      </c>
      <c r="P23" s="46">
        <f t="shared" si="2"/>
        <v>168077</v>
      </c>
      <c r="Q23" s="203">
        <f t="shared" si="3"/>
        <v>79.649796227845698</v>
      </c>
    </row>
    <row r="24" spans="2:17" x14ac:dyDescent="0.2">
      <c r="B24" s="72">
        <f t="shared" si="5"/>
        <v>16</v>
      </c>
      <c r="C24" s="12"/>
      <c r="D24" s="12"/>
      <c r="E24" s="12"/>
      <c r="F24" s="52" t="s">
        <v>73</v>
      </c>
      <c r="G24" s="12">
        <v>630</v>
      </c>
      <c r="H24" s="12" t="s">
        <v>127</v>
      </c>
      <c r="I24" s="49">
        <f>I26+I25</f>
        <v>72110</v>
      </c>
      <c r="J24" s="49">
        <f>J26+J25</f>
        <v>67837</v>
      </c>
      <c r="K24" s="198">
        <f>J24/I24*100</f>
        <v>94.074330883372625</v>
      </c>
      <c r="L24" s="49">
        <f>L26+L25</f>
        <v>0</v>
      </c>
      <c r="M24" s="49">
        <f>M26+M25</f>
        <v>0</v>
      </c>
      <c r="N24" s="198"/>
      <c r="O24" s="49">
        <f t="shared" si="1"/>
        <v>72110</v>
      </c>
      <c r="P24" s="49">
        <f t="shared" si="2"/>
        <v>67837</v>
      </c>
      <c r="Q24" s="203">
        <f t="shared" si="3"/>
        <v>94.074330883372625</v>
      </c>
    </row>
    <row r="25" spans="2:17" x14ac:dyDescent="0.2">
      <c r="B25" s="72">
        <f t="shared" si="5"/>
        <v>17</v>
      </c>
      <c r="C25" s="4"/>
      <c r="D25" s="4"/>
      <c r="E25" s="4"/>
      <c r="F25" s="53" t="s">
        <v>73</v>
      </c>
      <c r="G25" s="4">
        <v>636</v>
      </c>
      <c r="H25" s="4" t="s">
        <v>132</v>
      </c>
      <c r="I25" s="23">
        <v>62250</v>
      </c>
      <c r="J25" s="23">
        <v>60137</v>
      </c>
      <c r="K25" s="198">
        <f>J25/I25*100</f>
        <v>96.605622489959842</v>
      </c>
      <c r="L25" s="23"/>
      <c r="M25" s="23"/>
      <c r="N25" s="198"/>
      <c r="O25" s="23">
        <f t="shared" si="1"/>
        <v>62250</v>
      </c>
      <c r="P25" s="23">
        <f t="shared" si="2"/>
        <v>60137</v>
      </c>
      <c r="Q25" s="203">
        <f t="shared" si="3"/>
        <v>96.605622489959842</v>
      </c>
    </row>
    <row r="26" spans="2:17" x14ac:dyDescent="0.2">
      <c r="B26" s="72">
        <f t="shared" si="5"/>
        <v>18</v>
      </c>
      <c r="C26" s="4"/>
      <c r="D26" s="4"/>
      <c r="E26" s="4"/>
      <c r="F26" s="53" t="s">
        <v>73</v>
      </c>
      <c r="G26" s="4">
        <v>637</v>
      </c>
      <c r="H26" s="4" t="s">
        <v>128</v>
      </c>
      <c r="I26" s="23">
        <v>9860</v>
      </c>
      <c r="J26" s="23">
        <v>7700</v>
      </c>
      <c r="K26" s="198">
        <f>J26/I26*100</f>
        <v>78.093306288032451</v>
      </c>
      <c r="L26" s="23"/>
      <c r="M26" s="23"/>
      <c r="N26" s="198"/>
      <c r="O26" s="23">
        <f t="shared" si="1"/>
        <v>9860</v>
      </c>
      <c r="P26" s="23">
        <f t="shared" si="2"/>
        <v>7700</v>
      </c>
      <c r="Q26" s="203">
        <f t="shared" si="3"/>
        <v>78.093306288032451</v>
      </c>
    </row>
    <row r="27" spans="2:17" x14ac:dyDescent="0.2">
      <c r="B27" s="72">
        <f t="shared" si="5"/>
        <v>19</v>
      </c>
      <c r="C27" s="12"/>
      <c r="D27" s="12"/>
      <c r="E27" s="12"/>
      <c r="F27" s="52" t="s">
        <v>73</v>
      </c>
      <c r="G27" s="12">
        <v>710</v>
      </c>
      <c r="H27" s="12" t="s">
        <v>183</v>
      </c>
      <c r="I27" s="49">
        <f>I28</f>
        <v>0</v>
      </c>
      <c r="J27" s="49">
        <f>J28</f>
        <v>0</v>
      </c>
      <c r="K27" s="198"/>
      <c r="L27" s="49">
        <f>L28</f>
        <v>138910</v>
      </c>
      <c r="M27" s="49">
        <f>M28</f>
        <v>100240</v>
      </c>
      <c r="N27" s="198">
        <f>M27/L27*100</f>
        <v>72.161831401626955</v>
      </c>
      <c r="O27" s="49">
        <f t="shared" si="1"/>
        <v>138910</v>
      </c>
      <c r="P27" s="49">
        <f t="shared" si="2"/>
        <v>100240</v>
      </c>
      <c r="Q27" s="203">
        <f t="shared" si="3"/>
        <v>72.161831401626955</v>
      </c>
    </row>
    <row r="28" spans="2:17" x14ac:dyDescent="0.2">
      <c r="B28" s="72">
        <f t="shared" si="5"/>
        <v>20</v>
      </c>
      <c r="C28" s="4"/>
      <c r="D28" s="4"/>
      <c r="E28" s="4"/>
      <c r="F28" s="82" t="s">
        <v>73</v>
      </c>
      <c r="G28" s="83">
        <v>711</v>
      </c>
      <c r="H28" s="83" t="s">
        <v>222</v>
      </c>
      <c r="I28" s="84"/>
      <c r="J28" s="84"/>
      <c r="K28" s="198"/>
      <c r="L28" s="84">
        <f>275000-100-2700+5000-8000-2394-10000-5696+20000-91000-41200</f>
        <v>138910</v>
      </c>
      <c r="M28" s="84">
        <v>100240</v>
      </c>
      <c r="N28" s="198">
        <f>M28/L28*100</f>
        <v>72.161831401626955</v>
      </c>
      <c r="O28" s="84">
        <f t="shared" si="1"/>
        <v>138910</v>
      </c>
      <c r="P28" s="84">
        <f t="shared" si="2"/>
        <v>100240</v>
      </c>
      <c r="Q28" s="203">
        <f t="shared" si="3"/>
        <v>72.161831401626955</v>
      </c>
    </row>
    <row r="29" spans="2:17" ht="15" x14ac:dyDescent="0.2">
      <c r="B29" s="72">
        <f t="shared" si="5"/>
        <v>21</v>
      </c>
      <c r="C29" s="179">
        <v>3</v>
      </c>
      <c r="D29" s="257" t="s">
        <v>154</v>
      </c>
      <c r="E29" s="253"/>
      <c r="F29" s="253"/>
      <c r="G29" s="253"/>
      <c r="H29" s="254"/>
      <c r="I29" s="45">
        <f>I30</f>
        <v>7100</v>
      </c>
      <c r="J29" s="45">
        <f>J30</f>
        <v>4553</v>
      </c>
      <c r="K29" s="198">
        <f t="shared" ref="K29:K38" si="6">J29/I29*100</f>
        <v>64.126760563380287</v>
      </c>
      <c r="L29" s="45">
        <f>L30</f>
        <v>0</v>
      </c>
      <c r="M29" s="45">
        <f>M30</f>
        <v>0</v>
      </c>
      <c r="N29" s="198"/>
      <c r="O29" s="45">
        <f t="shared" si="1"/>
        <v>7100</v>
      </c>
      <c r="P29" s="45">
        <f t="shared" si="2"/>
        <v>4553</v>
      </c>
      <c r="Q29" s="203">
        <f t="shared" si="3"/>
        <v>64.126760563380287</v>
      </c>
    </row>
    <row r="30" spans="2:17" x14ac:dyDescent="0.2">
      <c r="B30" s="72">
        <f t="shared" si="5"/>
        <v>22</v>
      </c>
      <c r="C30" s="12"/>
      <c r="D30" s="12"/>
      <c r="E30" s="12"/>
      <c r="F30" s="52" t="s">
        <v>73</v>
      </c>
      <c r="G30" s="12">
        <v>630</v>
      </c>
      <c r="H30" s="12" t="s">
        <v>127</v>
      </c>
      <c r="I30" s="49">
        <f>I32+I31</f>
        <v>7100</v>
      </c>
      <c r="J30" s="49">
        <f>J32+J31</f>
        <v>4553</v>
      </c>
      <c r="K30" s="198">
        <f t="shared" si="6"/>
        <v>64.126760563380287</v>
      </c>
      <c r="L30" s="49">
        <f>L32+L31</f>
        <v>0</v>
      </c>
      <c r="M30" s="49">
        <f>M32+M31</f>
        <v>0</v>
      </c>
      <c r="N30" s="198"/>
      <c r="O30" s="49">
        <f t="shared" si="1"/>
        <v>7100</v>
      </c>
      <c r="P30" s="49">
        <f t="shared" si="2"/>
        <v>4553</v>
      </c>
      <c r="Q30" s="203">
        <f t="shared" si="3"/>
        <v>64.126760563380287</v>
      </c>
    </row>
    <row r="31" spans="2:17" x14ac:dyDescent="0.2">
      <c r="B31" s="72">
        <f t="shared" si="5"/>
        <v>23</v>
      </c>
      <c r="C31" s="4"/>
      <c r="D31" s="4"/>
      <c r="E31" s="4"/>
      <c r="F31" s="53" t="s">
        <v>73</v>
      </c>
      <c r="G31" s="4">
        <v>633</v>
      </c>
      <c r="H31" s="4" t="s">
        <v>131</v>
      </c>
      <c r="I31" s="23">
        <v>500</v>
      </c>
      <c r="J31" s="23">
        <v>332</v>
      </c>
      <c r="K31" s="198">
        <f t="shared" si="6"/>
        <v>66.400000000000006</v>
      </c>
      <c r="L31" s="23"/>
      <c r="M31" s="23"/>
      <c r="N31" s="198"/>
      <c r="O31" s="23">
        <f t="shared" si="1"/>
        <v>500</v>
      </c>
      <c r="P31" s="23">
        <f t="shared" si="2"/>
        <v>332</v>
      </c>
      <c r="Q31" s="203">
        <f t="shared" si="3"/>
        <v>66.400000000000006</v>
      </c>
    </row>
    <row r="32" spans="2:17" x14ac:dyDescent="0.2">
      <c r="B32" s="72">
        <f t="shared" si="5"/>
        <v>24</v>
      </c>
      <c r="C32" s="4"/>
      <c r="D32" s="4"/>
      <c r="E32" s="4"/>
      <c r="F32" s="53" t="s">
        <v>73</v>
      </c>
      <c r="G32" s="4">
        <v>637</v>
      </c>
      <c r="H32" s="4" t="s">
        <v>128</v>
      </c>
      <c r="I32" s="23">
        <v>6600</v>
      </c>
      <c r="J32" s="23">
        <v>4221</v>
      </c>
      <c r="K32" s="198">
        <f t="shared" si="6"/>
        <v>63.954545454545453</v>
      </c>
      <c r="L32" s="23"/>
      <c r="M32" s="23"/>
      <c r="N32" s="198"/>
      <c r="O32" s="23">
        <f t="shared" si="1"/>
        <v>6600</v>
      </c>
      <c r="P32" s="23">
        <f t="shared" si="2"/>
        <v>4221</v>
      </c>
      <c r="Q32" s="203">
        <f t="shared" si="3"/>
        <v>63.954545454545453</v>
      </c>
    </row>
    <row r="33" spans="2:17" ht="15" x14ac:dyDescent="0.2">
      <c r="B33" s="72">
        <f t="shared" si="5"/>
        <v>25</v>
      </c>
      <c r="C33" s="179">
        <v>4</v>
      </c>
      <c r="D33" s="257" t="s">
        <v>202</v>
      </c>
      <c r="E33" s="253"/>
      <c r="F33" s="253"/>
      <c r="G33" s="253"/>
      <c r="H33" s="254"/>
      <c r="I33" s="45">
        <f>I34+I39+I48</f>
        <v>290710</v>
      </c>
      <c r="J33" s="45">
        <f>J34+J39+J48</f>
        <v>250359</v>
      </c>
      <c r="K33" s="198">
        <f t="shared" si="6"/>
        <v>86.119844518592416</v>
      </c>
      <c r="L33" s="45">
        <f>L34+L39+L48</f>
        <v>205510</v>
      </c>
      <c r="M33" s="45">
        <f>M34+M39+M48</f>
        <v>72769</v>
      </c>
      <c r="N33" s="198">
        <f>M33/L33*100</f>
        <v>35.408982531263682</v>
      </c>
      <c r="O33" s="45">
        <f t="shared" si="1"/>
        <v>496220</v>
      </c>
      <c r="P33" s="45">
        <f t="shared" si="2"/>
        <v>323128</v>
      </c>
      <c r="Q33" s="203">
        <f t="shared" si="3"/>
        <v>65.117891257909804</v>
      </c>
    </row>
    <row r="34" spans="2:17" x14ac:dyDescent="0.2">
      <c r="B34" s="72">
        <f t="shared" si="5"/>
        <v>26</v>
      </c>
      <c r="C34" s="12"/>
      <c r="D34" s="12"/>
      <c r="E34" s="12"/>
      <c r="F34" s="52" t="s">
        <v>73</v>
      </c>
      <c r="G34" s="12">
        <v>630</v>
      </c>
      <c r="H34" s="12" t="s">
        <v>127</v>
      </c>
      <c r="I34" s="49">
        <f>I36+I35+I37+I38</f>
        <v>43070</v>
      </c>
      <c r="J34" s="49">
        <f>J36+J35+J37+J38</f>
        <v>19659</v>
      </c>
      <c r="K34" s="198">
        <f t="shared" si="6"/>
        <v>45.64429997678198</v>
      </c>
      <c r="L34" s="49">
        <f>L36+L35+L37</f>
        <v>0</v>
      </c>
      <c r="M34" s="49">
        <f>M36+M35+M37</f>
        <v>0</v>
      </c>
      <c r="N34" s="198"/>
      <c r="O34" s="49">
        <f t="shared" si="1"/>
        <v>43070</v>
      </c>
      <c r="P34" s="49">
        <f t="shared" si="2"/>
        <v>19659</v>
      </c>
      <c r="Q34" s="203">
        <f t="shared" si="3"/>
        <v>45.64429997678198</v>
      </c>
    </row>
    <row r="35" spans="2:17" x14ac:dyDescent="0.2">
      <c r="B35" s="72">
        <f t="shared" si="5"/>
        <v>27</v>
      </c>
      <c r="C35" s="4"/>
      <c r="D35" s="4"/>
      <c r="E35" s="4"/>
      <c r="F35" s="53" t="s">
        <v>73</v>
      </c>
      <c r="G35" s="4">
        <v>635</v>
      </c>
      <c r="H35" s="4" t="s">
        <v>137</v>
      </c>
      <c r="I35" s="23">
        <f>12000-4000</f>
        <v>8000</v>
      </c>
      <c r="J35" s="23">
        <v>6258</v>
      </c>
      <c r="K35" s="198">
        <f t="shared" si="6"/>
        <v>78.224999999999994</v>
      </c>
      <c r="L35" s="23"/>
      <c r="M35" s="23"/>
      <c r="N35" s="198"/>
      <c r="O35" s="23">
        <f t="shared" si="1"/>
        <v>8000</v>
      </c>
      <c r="P35" s="23">
        <f t="shared" si="2"/>
        <v>6258</v>
      </c>
      <c r="Q35" s="203">
        <f t="shared" si="3"/>
        <v>78.224999999999994</v>
      </c>
    </row>
    <row r="36" spans="2:17" x14ac:dyDescent="0.2">
      <c r="B36" s="72">
        <f t="shared" si="5"/>
        <v>28</v>
      </c>
      <c r="C36" s="4"/>
      <c r="D36" s="4"/>
      <c r="E36" s="4"/>
      <c r="F36" s="53" t="s">
        <v>73</v>
      </c>
      <c r="G36" s="4">
        <v>637</v>
      </c>
      <c r="H36" s="4" t="s">
        <v>128</v>
      </c>
      <c r="I36" s="23">
        <f>2570+4000+2000+1500</f>
        <v>10070</v>
      </c>
      <c r="J36" s="23">
        <v>3416</v>
      </c>
      <c r="K36" s="198">
        <f t="shared" si="6"/>
        <v>33.922542204568025</v>
      </c>
      <c r="L36" s="23"/>
      <c r="M36" s="23"/>
      <c r="N36" s="198"/>
      <c r="O36" s="23">
        <f t="shared" si="1"/>
        <v>10070</v>
      </c>
      <c r="P36" s="23">
        <f t="shared" si="2"/>
        <v>3416</v>
      </c>
      <c r="Q36" s="203">
        <f t="shared" si="3"/>
        <v>33.922542204568025</v>
      </c>
    </row>
    <row r="37" spans="2:17" x14ac:dyDescent="0.2">
      <c r="B37" s="72">
        <f t="shared" si="5"/>
        <v>29</v>
      </c>
      <c r="C37" s="4"/>
      <c r="D37" s="4"/>
      <c r="E37" s="4"/>
      <c r="F37" s="53" t="s">
        <v>73</v>
      </c>
      <c r="G37" s="4">
        <v>630</v>
      </c>
      <c r="H37" s="4" t="s">
        <v>413</v>
      </c>
      <c r="I37" s="23">
        <v>15000</v>
      </c>
      <c r="J37" s="23">
        <v>0</v>
      </c>
      <c r="K37" s="198">
        <f t="shared" si="6"/>
        <v>0</v>
      </c>
      <c r="L37" s="23"/>
      <c r="M37" s="23"/>
      <c r="N37" s="198"/>
      <c r="O37" s="23">
        <f t="shared" si="1"/>
        <v>15000</v>
      </c>
      <c r="P37" s="23">
        <f t="shared" si="2"/>
        <v>0</v>
      </c>
      <c r="Q37" s="203">
        <f t="shared" si="3"/>
        <v>0</v>
      </c>
    </row>
    <row r="38" spans="2:17" x14ac:dyDescent="0.2">
      <c r="B38" s="72">
        <f t="shared" si="5"/>
        <v>30</v>
      </c>
      <c r="C38" s="4"/>
      <c r="D38" s="4"/>
      <c r="E38" s="4"/>
      <c r="F38" s="53" t="s">
        <v>73</v>
      </c>
      <c r="G38" s="4">
        <v>637</v>
      </c>
      <c r="H38" s="4" t="s">
        <v>737</v>
      </c>
      <c r="I38" s="23">
        <v>10000</v>
      </c>
      <c r="J38" s="23">
        <v>9985</v>
      </c>
      <c r="K38" s="198">
        <f t="shared" si="6"/>
        <v>99.850000000000009</v>
      </c>
      <c r="L38" s="23"/>
      <c r="M38" s="23"/>
      <c r="N38" s="198"/>
      <c r="O38" s="23"/>
      <c r="P38" s="23"/>
      <c r="Q38" s="203"/>
    </row>
    <row r="39" spans="2:17" x14ac:dyDescent="0.2">
      <c r="B39" s="72">
        <f t="shared" si="5"/>
        <v>31</v>
      </c>
      <c r="C39" s="12"/>
      <c r="D39" s="12"/>
      <c r="E39" s="12"/>
      <c r="F39" s="52" t="s">
        <v>73</v>
      </c>
      <c r="G39" s="12">
        <v>710</v>
      </c>
      <c r="H39" s="12" t="s">
        <v>183</v>
      </c>
      <c r="I39" s="49">
        <f>I45</f>
        <v>0</v>
      </c>
      <c r="J39" s="49">
        <f>J45</f>
        <v>0</v>
      </c>
      <c r="K39" s="198"/>
      <c r="L39" s="49">
        <f>L45+L40</f>
        <v>205510</v>
      </c>
      <c r="M39" s="49">
        <f>M45+M40</f>
        <v>72769</v>
      </c>
      <c r="N39" s="198">
        <f t="shared" ref="N39:N47" si="7">M39/L39*100</f>
        <v>35.408982531263682</v>
      </c>
      <c r="O39" s="49">
        <f>I39+L39</f>
        <v>205510</v>
      </c>
      <c r="P39" s="49">
        <f>J39+M39</f>
        <v>72769</v>
      </c>
      <c r="Q39" s="203">
        <f t="shared" ref="Q39:Q70" si="8">P39/O39*100</f>
        <v>35.408982531263682</v>
      </c>
    </row>
    <row r="40" spans="2:17" x14ac:dyDescent="0.2">
      <c r="B40" s="72">
        <f t="shared" si="5"/>
        <v>32</v>
      </c>
      <c r="C40" s="12"/>
      <c r="D40" s="12"/>
      <c r="E40" s="12"/>
      <c r="F40" s="82" t="s">
        <v>73</v>
      </c>
      <c r="G40" s="83">
        <v>716</v>
      </c>
      <c r="H40" s="83" t="s">
        <v>0</v>
      </c>
      <c r="I40" s="84">
        <v>0</v>
      </c>
      <c r="J40" s="84"/>
      <c r="K40" s="198"/>
      <c r="L40" s="84">
        <f>SUM(L41:L44)</f>
        <v>25700</v>
      </c>
      <c r="M40" s="84">
        <f>SUM(M41:M44)</f>
        <v>5598</v>
      </c>
      <c r="N40" s="198">
        <f t="shared" si="7"/>
        <v>21.782101167315172</v>
      </c>
      <c r="O40" s="84">
        <f t="shared" ref="O40:P44" si="9">L40+I40</f>
        <v>25700</v>
      </c>
      <c r="P40" s="84">
        <f t="shared" si="9"/>
        <v>5598</v>
      </c>
      <c r="Q40" s="203">
        <f t="shared" si="8"/>
        <v>21.782101167315172</v>
      </c>
    </row>
    <row r="41" spans="2:17" x14ac:dyDescent="0.2">
      <c r="B41" s="72">
        <f t="shared" si="5"/>
        <v>33</v>
      </c>
      <c r="C41" s="12"/>
      <c r="D41" s="12"/>
      <c r="E41" s="12"/>
      <c r="F41" s="64"/>
      <c r="G41" s="60"/>
      <c r="H41" s="60" t="s">
        <v>577</v>
      </c>
      <c r="I41" s="58"/>
      <c r="J41" s="58"/>
      <c r="K41" s="198"/>
      <c r="L41" s="58">
        <v>4500</v>
      </c>
      <c r="M41" s="58">
        <v>4404</v>
      </c>
      <c r="N41" s="198">
        <f t="shared" si="7"/>
        <v>97.866666666666674</v>
      </c>
      <c r="O41" s="23">
        <f t="shared" si="9"/>
        <v>4500</v>
      </c>
      <c r="P41" s="23">
        <f t="shared" si="9"/>
        <v>4404</v>
      </c>
      <c r="Q41" s="203">
        <f t="shared" si="8"/>
        <v>97.866666666666674</v>
      </c>
    </row>
    <row r="42" spans="2:17" ht="24" x14ac:dyDescent="0.2">
      <c r="B42" s="72">
        <f t="shared" si="5"/>
        <v>34</v>
      </c>
      <c r="C42" s="12"/>
      <c r="D42" s="12"/>
      <c r="E42" s="12"/>
      <c r="F42" s="64"/>
      <c r="G42" s="60"/>
      <c r="H42" s="148" t="s">
        <v>735</v>
      </c>
      <c r="I42" s="58"/>
      <c r="J42" s="58"/>
      <c r="K42" s="198"/>
      <c r="L42" s="58">
        <v>1200</v>
      </c>
      <c r="M42" s="58">
        <v>1194</v>
      </c>
      <c r="N42" s="198">
        <f t="shared" si="7"/>
        <v>99.5</v>
      </c>
      <c r="O42" s="23">
        <f t="shared" si="9"/>
        <v>1200</v>
      </c>
      <c r="P42" s="23">
        <f t="shared" si="9"/>
        <v>1194</v>
      </c>
      <c r="Q42" s="203">
        <f t="shared" si="8"/>
        <v>99.5</v>
      </c>
    </row>
    <row r="43" spans="2:17" ht="24" x14ac:dyDescent="0.2">
      <c r="B43" s="72">
        <f t="shared" ref="B43:B74" si="10">B42+1</f>
        <v>35</v>
      </c>
      <c r="C43" s="12"/>
      <c r="D43" s="12"/>
      <c r="E43" s="12"/>
      <c r="F43" s="64"/>
      <c r="G43" s="60"/>
      <c r="H43" s="148" t="s">
        <v>740</v>
      </c>
      <c r="I43" s="58"/>
      <c r="J43" s="58"/>
      <c r="K43" s="198"/>
      <c r="L43" s="58">
        <v>10000</v>
      </c>
      <c r="M43" s="58"/>
      <c r="N43" s="198">
        <f t="shared" si="7"/>
        <v>0</v>
      </c>
      <c r="O43" s="23">
        <f t="shared" si="9"/>
        <v>10000</v>
      </c>
      <c r="P43" s="23">
        <f t="shared" si="9"/>
        <v>0</v>
      </c>
      <c r="Q43" s="203">
        <f t="shared" si="8"/>
        <v>0</v>
      </c>
    </row>
    <row r="44" spans="2:17" ht="24" x14ac:dyDescent="0.2">
      <c r="B44" s="72">
        <f t="shared" si="10"/>
        <v>36</v>
      </c>
      <c r="C44" s="12"/>
      <c r="D44" s="12"/>
      <c r="E44" s="12"/>
      <c r="F44" s="64"/>
      <c r="G44" s="60"/>
      <c r="H44" s="148" t="s">
        <v>741</v>
      </c>
      <c r="I44" s="58"/>
      <c r="J44" s="58"/>
      <c r="K44" s="198"/>
      <c r="L44" s="58">
        <v>10000</v>
      </c>
      <c r="M44" s="58"/>
      <c r="N44" s="198">
        <f t="shared" si="7"/>
        <v>0</v>
      </c>
      <c r="O44" s="23">
        <f t="shared" si="9"/>
        <v>10000</v>
      </c>
      <c r="P44" s="23">
        <f t="shared" si="9"/>
        <v>0</v>
      </c>
      <c r="Q44" s="203">
        <f t="shared" si="8"/>
        <v>0</v>
      </c>
    </row>
    <row r="45" spans="2:17" x14ac:dyDescent="0.2">
      <c r="B45" s="72">
        <f t="shared" si="10"/>
        <v>37</v>
      </c>
      <c r="C45" s="4"/>
      <c r="D45" s="4"/>
      <c r="E45" s="4"/>
      <c r="F45" s="82" t="s">
        <v>73</v>
      </c>
      <c r="G45" s="83">
        <v>717</v>
      </c>
      <c r="H45" s="83" t="s">
        <v>193</v>
      </c>
      <c r="I45" s="84"/>
      <c r="J45" s="84"/>
      <c r="K45" s="198"/>
      <c r="L45" s="84">
        <f>SUM(L46:L47)</f>
        <v>179810</v>
      </c>
      <c r="M45" s="84">
        <f>SUM(M46:M47)</f>
        <v>67171</v>
      </c>
      <c r="N45" s="198">
        <f t="shared" si="7"/>
        <v>37.356654246148715</v>
      </c>
      <c r="O45" s="84">
        <f t="shared" ref="O45:O91" si="11">I45+L45</f>
        <v>179810</v>
      </c>
      <c r="P45" s="84">
        <f t="shared" ref="P45:P91" si="12">J45+M45</f>
        <v>67171</v>
      </c>
      <c r="Q45" s="203">
        <f t="shared" si="8"/>
        <v>37.356654246148715</v>
      </c>
    </row>
    <row r="46" spans="2:17" x14ac:dyDescent="0.2">
      <c r="B46" s="72">
        <f t="shared" si="10"/>
        <v>38</v>
      </c>
      <c r="C46" s="4"/>
      <c r="D46" s="4"/>
      <c r="E46" s="4"/>
      <c r="F46" s="53"/>
      <c r="G46" s="4"/>
      <c r="H46" s="4" t="s">
        <v>435</v>
      </c>
      <c r="I46" s="23"/>
      <c r="J46" s="23"/>
      <c r="K46" s="198"/>
      <c r="L46" s="23">
        <v>112810</v>
      </c>
      <c r="M46" s="23">
        <v>787</v>
      </c>
      <c r="N46" s="198">
        <f t="shared" si="7"/>
        <v>0.69763318854711465</v>
      </c>
      <c r="O46" s="23">
        <f t="shared" si="11"/>
        <v>112810</v>
      </c>
      <c r="P46" s="23">
        <f t="shared" si="12"/>
        <v>787</v>
      </c>
      <c r="Q46" s="203">
        <f t="shared" si="8"/>
        <v>0.69763318854711465</v>
      </c>
    </row>
    <row r="47" spans="2:17" x14ac:dyDescent="0.2">
      <c r="B47" s="72">
        <f t="shared" si="10"/>
        <v>39</v>
      </c>
      <c r="C47" s="4"/>
      <c r="D47" s="4"/>
      <c r="E47" s="4"/>
      <c r="F47" s="53"/>
      <c r="G47" s="4"/>
      <c r="H47" s="4" t="s">
        <v>446</v>
      </c>
      <c r="I47" s="23"/>
      <c r="J47" s="23"/>
      <c r="K47" s="198"/>
      <c r="L47" s="23">
        <f>25000-4500+46500</f>
        <v>67000</v>
      </c>
      <c r="M47" s="23">
        <f>6797+59587</f>
        <v>66384</v>
      </c>
      <c r="N47" s="198">
        <f t="shared" si="7"/>
        <v>99.080597014925374</v>
      </c>
      <c r="O47" s="23">
        <f t="shared" si="11"/>
        <v>67000</v>
      </c>
      <c r="P47" s="23">
        <f t="shared" si="12"/>
        <v>66384</v>
      </c>
      <c r="Q47" s="203">
        <f t="shared" si="8"/>
        <v>99.080597014925374</v>
      </c>
    </row>
    <row r="48" spans="2:17" ht="15" x14ac:dyDescent="0.25">
      <c r="B48" s="72">
        <f t="shared" si="10"/>
        <v>40</v>
      </c>
      <c r="C48" s="15"/>
      <c r="D48" s="15"/>
      <c r="E48" s="15">
        <v>2</v>
      </c>
      <c r="F48" s="50"/>
      <c r="G48" s="15"/>
      <c r="H48" s="109" t="s">
        <v>256</v>
      </c>
      <c r="I48" s="47">
        <f>I49+I50+I51+I58</f>
        <v>247640</v>
      </c>
      <c r="J48" s="47">
        <f>J49+J50+J51+J58</f>
        <v>230700</v>
      </c>
      <c r="K48" s="198">
        <f t="shared" ref="K48:K70" si="13">J48/I48*100</f>
        <v>93.159424971733159</v>
      </c>
      <c r="L48" s="47">
        <v>0</v>
      </c>
      <c r="M48" s="47"/>
      <c r="N48" s="198"/>
      <c r="O48" s="47">
        <f t="shared" si="11"/>
        <v>247640</v>
      </c>
      <c r="P48" s="47">
        <f t="shared" si="12"/>
        <v>230700</v>
      </c>
      <c r="Q48" s="203">
        <f t="shared" si="8"/>
        <v>93.159424971733159</v>
      </c>
    </row>
    <row r="49" spans="2:17" x14ac:dyDescent="0.2">
      <c r="B49" s="72">
        <f t="shared" si="10"/>
        <v>41</v>
      </c>
      <c r="C49" s="12"/>
      <c r="D49" s="12"/>
      <c r="E49" s="12"/>
      <c r="F49" s="52" t="s">
        <v>158</v>
      </c>
      <c r="G49" s="12">
        <v>610</v>
      </c>
      <c r="H49" s="12" t="s">
        <v>135</v>
      </c>
      <c r="I49" s="49">
        <f>63900-2000</f>
        <v>61900</v>
      </c>
      <c r="J49" s="49">
        <v>61900</v>
      </c>
      <c r="K49" s="198">
        <f t="shared" si="13"/>
        <v>100</v>
      </c>
      <c r="L49" s="49"/>
      <c r="M49" s="49"/>
      <c r="N49" s="198"/>
      <c r="O49" s="49">
        <f t="shared" si="11"/>
        <v>61900</v>
      </c>
      <c r="P49" s="49">
        <f t="shared" si="12"/>
        <v>61900</v>
      </c>
      <c r="Q49" s="203">
        <f t="shared" si="8"/>
        <v>100</v>
      </c>
    </row>
    <row r="50" spans="2:17" x14ac:dyDescent="0.2">
      <c r="B50" s="72">
        <f t="shared" si="10"/>
        <v>42</v>
      </c>
      <c r="C50" s="12"/>
      <c r="D50" s="12"/>
      <c r="E50" s="12"/>
      <c r="F50" s="52" t="s">
        <v>158</v>
      </c>
      <c r="G50" s="12">
        <v>620</v>
      </c>
      <c r="H50" s="12" t="s">
        <v>130</v>
      </c>
      <c r="I50" s="49">
        <f>24000-700</f>
        <v>23300</v>
      </c>
      <c r="J50" s="49">
        <v>22456</v>
      </c>
      <c r="K50" s="198">
        <f t="shared" si="13"/>
        <v>96.377682403433468</v>
      </c>
      <c r="L50" s="49"/>
      <c r="M50" s="49"/>
      <c r="N50" s="198"/>
      <c r="O50" s="49">
        <f t="shared" si="11"/>
        <v>23300</v>
      </c>
      <c r="P50" s="49">
        <f t="shared" si="12"/>
        <v>22456</v>
      </c>
      <c r="Q50" s="203">
        <f t="shared" si="8"/>
        <v>96.377682403433468</v>
      </c>
    </row>
    <row r="51" spans="2:17" x14ac:dyDescent="0.2">
      <c r="B51" s="72">
        <f t="shared" si="10"/>
        <v>43</v>
      </c>
      <c r="C51" s="12"/>
      <c r="D51" s="12"/>
      <c r="E51" s="12"/>
      <c r="F51" s="52" t="s">
        <v>158</v>
      </c>
      <c r="G51" s="12">
        <v>630</v>
      </c>
      <c r="H51" s="12" t="s">
        <v>127</v>
      </c>
      <c r="I51" s="49">
        <f>I57+I56+I55+I54+I53+I52</f>
        <v>160240</v>
      </c>
      <c r="J51" s="49">
        <f>J57+J56+J55+J54+J53+J52</f>
        <v>144178</v>
      </c>
      <c r="K51" s="198">
        <f t="shared" si="13"/>
        <v>89.976285571642535</v>
      </c>
      <c r="L51" s="49">
        <f>L57+L56+L55+L54+L53+L52</f>
        <v>0</v>
      </c>
      <c r="M51" s="49">
        <f>M57+M56+M55+M54+M53+M52</f>
        <v>0</v>
      </c>
      <c r="N51" s="198"/>
      <c r="O51" s="49">
        <f t="shared" si="11"/>
        <v>160240</v>
      </c>
      <c r="P51" s="49">
        <f t="shared" si="12"/>
        <v>144178</v>
      </c>
      <c r="Q51" s="203">
        <f t="shared" si="8"/>
        <v>89.976285571642535</v>
      </c>
    </row>
    <row r="52" spans="2:17" x14ac:dyDescent="0.2">
      <c r="B52" s="72">
        <f t="shared" si="10"/>
        <v>44</v>
      </c>
      <c r="C52" s="4"/>
      <c r="D52" s="4"/>
      <c r="E52" s="4"/>
      <c r="F52" s="53" t="s">
        <v>158</v>
      </c>
      <c r="G52" s="4">
        <v>632</v>
      </c>
      <c r="H52" s="4" t="s">
        <v>138</v>
      </c>
      <c r="I52" s="23">
        <v>90000</v>
      </c>
      <c r="J52" s="23">
        <v>89540</v>
      </c>
      <c r="K52" s="198">
        <f t="shared" si="13"/>
        <v>99.488888888888894</v>
      </c>
      <c r="L52" s="23"/>
      <c r="M52" s="23"/>
      <c r="N52" s="198"/>
      <c r="O52" s="23">
        <f t="shared" si="11"/>
        <v>90000</v>
      </c>
      <c r="P52" s="23">
        <f t="shared" si="12"/>
        <v>89540</v>
      </c>
      <c r="Q52" s="203">
        <f t="shared" si="8"/>
        <v>99.488888888888894</v>
      </c>
    </row>
    <row r="53" spans="2:17" x14ac:dyDescent="0.2">
      <c r="B53" s="72">
        <f t="shared" si="10"/>
        <v>45</v>
      </c>
      <c r="C53" s="4"/>
      <c r="D53" s="4"/>
      <c r="E53" s="4"/>
      <c r="F53" s="53" t="s">
        <v>158</v>
      </c>
      <c r="G53" s="4">
        <v>633</v>
      </c>
      <c r="H53" s="4" t="s">
        <v>131</v>
      </c>
      <c r="I53" s="23">
        <v>5250</v>
      </c>
      <c r="J53" s="23">
        <v>3549</v>
      </c>
      <c r="K53" s="198">
        <f t="shared" si="13"/>
        <v>67.600000000000009</v>
      </c>
      <c r="L53" s="23"/>
      <c r="M53" s="23"/>
      <c r="N53" s="198"/>
      <c r="O53" s="23">
        <f t="shared" si="11"/>
        <v>5250</v>
      </c>
      <c r="P53" s="23">
        <f t="shared" si="12"/>
        <v>3549</v>
      </c>
      <c r="Q53" s="203">
        <f t="shared" si="8"/>
        <v>67.600000000000009</v>
      </c>
    </row>
    <row r="54" spans="2:17" x14ac:dyDescent="0.2">
      <c r="B54" s="72">
        <f t="shared" si="10"/>
        <v>46</v>
      </c>
      <c r="C54" s="4"/>
      <c r="D54" s="4"/>
      <c r="E54" s="4"/>
      <c r="F54" s="53" t="s">
        <v>158</v>
      </c>
      <c r="G54" s="4">
        <v>634</v>
      </c>
      <c r="H54" s="4" t="s">
        <v>136</v>
      </c>
      <c r="I54" s="23">
        <v>4200</v>
      </c>
      <c r="J54" s="23">
        <v>2138</v>
      </c>
      <c r="K54" s="198">
        <f t="shared" si="13"/>
        <v>50.904761904761905</v>
      </c>
      <c r="L54" s="23"/>
      <c r="M54" s="23"/>
      <c r="N54" s="198"/>
      <c r="O54" s="23">
        <f t="shared" si="11"/>
        <v>4200</v>
      </c>
      <c r="P54" s="23">
        <f t="shared" si="12"/>
        <v>2138</v>
      </c>
      <c r="Q54" s="203">
        <f t="shared" si="8"/>
        <v>50.904761904761905</v>
      </c>
    </row>
    <row r="55" spans="2:17" x14ac:dyDescent="0.2">
      <c r="B55" s="72">
        <f t="shared" si="10"/>
        <v>47</v>
      </c>
      <c r="C55" s="4"/>
      <c r="D55" s="4"/>
      <c r="E55" s="4"/>
      <c r="F55" s="53" t="s">
        <v>158</v>
      </c>
      <c r="G55" s="4">
        <v>635</v>
      </c>
      <c r="H55" s="4" t="s">
        <v>137</v>
      </c>
      <c r="I55" s="23">
        <f>38000+8000</f>
        <v>46000</v>
      </c>
      <c r="J55" s="23">
        <v>38893</v>
      </c>
      <c r="K55" s="198">
        <f t="shared" si="13"/>
        <v>84.55</v>
      </c>
      <c r="L55" s="23"/>
      <c r="M55" s="23"/>
      <c r="N55" s="198"/>
      <c r="O55" s="23">
        <f t="shared" si="11"/>
        <v>46000</v>
      </c>
      <c r="P55" s="23">
        <f t="shared" si="12"/>
        <v>38893</v>
      </c>
      <c r="Q55" s="203">
        <f t="shared" si="8"/>
        <v>84.55</v>
      </c>
    </row>
    <row r="56" spans="2:17" x14ac:dyDescent="0.2">
      <c r="B56" s="72">
        <f t="shared" si="10"/>
        <v>48</v>
      </c>
      <c r="C56" s="4"/>
      <c r="D56" s="4"/>
      <c r="E56" s="4"/>
      <c r="F56" s="53" t="s">
        <v>158</v>
      </c>
      <c r="G56" s="4">
        <v>636</v>
      </c>
      <c r="H56" s="4" t="s">
        <v>132</v>
      </c>
      <c r="I56" s="23">
        <v>50</v>
      </c>
      <c r="J56" s="23">
        <v>0</v>
      </c>
      <c r="K56" s="198">
        <f t="shared" si="13"/>
        <v>0</v>
      </c>
      <c r="L56" s="23"/>
      <c r="M56" s="23"/>
      <c r="N56" s="198"/>
      <c r="O56" s="23">
        <f t="shared" si="11"/>
        <v>50</v>
      </c>
      <c r="P56" s="23">
        <f t="shared" si="12"/>
        <v>0</v>
      </c>
      <c r="Q56" s="203">
        <f t="shared" si="8"/>
        <v>0</v>
      </c>
    </row>
    <row r="57" spans="2:17" x14ac:dyDescent="0.2">
      <c r="B57" s="72">
        <f t="shared" si="10"/>
        <v>49</v>
      </c>
      <c r="C57" s="4"/>
      <c r="D57" s="4"/>
      <c r="E57" s="4"/>
      <c r="F57" s="53" t="s">
        <v>158</v>
      </c>
      <c r="G57" s="4">
        <v>637</v>
      </c>
      <c r="H57" s="4" t="s">
        <v>128</v>
      </c>
      <c r="I57" s="23">
        <f>17050+690-3000</f>
        <v>14740</v>
      </c>
      <c r="J57" s="23">
        <v>10058</v>
      </c>
      <c r="K57" s="198">
        <f t="shared" si="13"/>
        <v>68.236092265943014</v>
      </c>
      <c r="L57" s="23"/>
      <c r="M57" s="23"/>
      <c r="N57" s="198"/>
      <c r="O57" s="23">
        <f t="shared" si="11"/>
        <v>14740</v>
      </c>
      <c r="P57" s="23">
        <f t="shared" si="12"/>
        <v>10058</v>
      </c>
      <c r="Q57" s="203">
        <f t="shared" si="8"/>
        <v>68.236092265943014</v>
      </c>
    </row>
    <row r="58" spans="2:17" x14ac:dyDescent="0.2">
      <c r="B58" s="72">
        <f t="shared" si="10"/>
        <v>50</v>
      </c>
      <c r="C58" s="12"/>
      <c r="D58" s="12"/>
      <c r="E58" s="12"/>
      <c r="F58" s="52" t="s">
        <v>158</v>
      </c>
      <c r="G58" s="12">
        <v>640</v>
      </c>
      <c r="H58" s="12" t="s">
        <v>134</v>
      </c>
      <c r="I58" s="49">
        <v>2200</v>
      </c>
      <c r="J58" s="49">
        <v>2166</v>
      </c>
      <c r="K58" s="198">
        <f t="shared" si="13"/>
        <v>98.454545454545453</v>
      </c>
      <c r="L58" s="49"/>
      <c r="M58" s="49"/>
      <c r="N58" s="198"/>
      <c r="O58" s="49">
        <f t="shared" si="11"/>
        <v>2200</v>
      </c>
      <c r="P58" s="49">
        <f t="shared" si="12"/>
        <v>2166</v>
      </c>
      <c r="Q58" s="203">
        <f t="shared" si="8"/>
        <v>98.454545454545453</v>
      </c>
    </row>
    <row r="59" spans="2:17" ht="15" x14ac:dyDescent="0.2">
      <c r="B59" s="72">
        <f t="shared" si="10"/>
        <v>51</v>
      </c>
      <c r="C59" s="179">
        <v>5</v>
      </c>
      <c r="D59" s="257" t="s">
        <v>157</v>
      </c>
      <c r="E59" s="253"/>
      <c r="F59" s="253"/>
      <c r="G59" s="253"/>
      <c r="H59" s="254"/>
      <c r="I59" s="45">
        <f>I60+I61+I62+I67+I68+I70+I71</f>
        <v>3063095</v>
      </c>
      <c r="J59" s="45">
        <f>J60+J61+J62+J67+J68+J70+J71</f>
        <v>2831132</v>
      </c>
      <c r="K59" s="198">
        <f t="shared" si="13"/>
        <v>92.427169252014707</v>
      </c>
      <c r="L59" s="45">
        <f>L60+L61+L62+L67+L68+L70+L71</f>
        <v>3310</v>
      </c>
      <c r="M59" s="45">
        <f>M60+M61+M62+M67+M68+M70+M71</f>
        <v>3310</v>
      </c>
      <c r="N59" s="198">
        <f>M59/L59*100</f>
        <v>100</v>
      </c>
      <c r="O59" s="45">
        <f t="shared" si="11"/>
        <v>3066405</v>
      </c>
      <c r="P59" s="45">
        <f t="shared" si="12"/>
        <v>2834442</v>
      </c>
      <c r="Q59" s="203">
        <f t="shared" si="8"/>
        <v>92.4353436679108</v>
      </c>
    </row>
    <row r="60" spans="2:17" x14ac:dyDescent="0.2">
      <c r="B60" s="72">
        <f t="shared" si="10"/>
        <v>52</v>
      </c>
      <c r="C60" s="12"/>
      <c r="D60" s="12"/>
      <c r="E60" s="12"/>
      <c r="F60" s="52" t="s">
        <v>73</v>
      </c>
      <c r="G60" s="12">
        <v>610</v>
      </c>
      <c r="H60" s="12" t="s">
        <v>135</v>
      </c>
      <c r="I60" s="49">
        <v>1700000</v>
      </c>
      <c r="J60" s="49">
        <v>1611637</v>
      </c>
      <c r="K60" s="198">
        <f t="shared" si="13"/>
        <v>94.802176470588236</v>
      </c>
      <c r="L60" s="49"/>
      <c r="M60" s="49"/>
      <c r="N60" s="198"/>
      <c r="O60" s="49">
        <f t="shared" si="11"/>
        <v>1700000</v>
      </c>
      <c r="P60" s="49">
        <f t="shared" si="12"/>
        <v>1611637</v>
      </c>
      <c r="Q60" s="203">
        <f t="shared" si="8"/>
        <v>94.802176470588236</v>
      </c>
    </row>
    <row r="61" spans="2:17" x14ac:dyDescent="0.2">
      <c r="B61" s="72">
        <f t="shared" si="10"/>
        <v>53</v>
      </c>
      <c r="C61" s="12"/>
      <c r="D61" s="12"/>
      <c r="E61" s="12"/>
      <c r="F61" s="52" t="s">
        <v>73</v>
      </c>
      <c r="G61" s="12">
        <v>620</v>
      </c>
      <c r="H61" s="12" t="s">
        <v>130</v>
      </c>
      <c r="I61" s="49">
        <v>679450</v>
      </c>
      <c r="J61" s="49">
        <v>626636</v>
      </c>
      <c r="K61" s="198">
        <f t="shared" si="13"/>
        <v>92.226948266980642</v>
      </c>
      <c r="L61" s="49"/>
      <c r="M61" s="49"/>
      <c r="N61" s="198"/>
      <c r="O61" s="49">
        <f t="shared" si="11"/>
        <v>679450</v>
      </c>
      <c r="P61" s="49">
        <f t="shared" si="12"/>
        <v>626636</v>
      </c>
      <c r="Q61" s="203">
        <f t="shared" si="8"/>
        <v>92.226948266980642</v>
      </c>
    </row>
    <row r="62" spans="2:17" x14ac:dyDescent="0.2">
      <c r="B62" s="72">
        <f t="shared" si="10"/>
        <v>54</v>
      </c>
      <c r="C62" s="12"/>
      <c r="D62" s="12"/>
      <c r="E62" s="12"/>
      <c r="F62" s="52" t="s">
        <v>73</v>
      </c>
      <c r="G62" s="12">
        <v>630</v>
      </c>
      <c r="H62" s="12" t="s">
        <v>127</v>
      </c>
      <c r="I62" s="49">
        <f>SUM(I63:I66)</f>
        <v>460470</v>
      </c>
      <c r="J62" s="49">
        <f>SUM(J63:J66)</f>
        <v>422456</v>
      </c>
      <c r="K62" s="198">
        <f t="shared" si="13"/>
        <v>91.744521901535393</v>
      </c>
      <c r="L62" s="49">
        <f>SUM(L63:L66)</f>
        <v>0</v>
      </c>
      <c r="M62" s="49">
        <f>SUM(M63:M66)</f>
        <v>0</v>
      </c>
      <c r="N62" s="198"/>
      <c r="O62" s="49">
        <f t="shared" si="11"/>
        <v>460470</v>
      </c>
      <c r="P62" s="49">
        <f t="shared" si="12"/>
        <v>422456</v>
      </c>
      <c r="Q62" s="203">
        <f t="shared" si="8"/>
        <v>91.744521901535393</v>
      </c>
    </row>
    <row r="63" spans="2:17" x14ac:dyDescent="0.2">
      <c r="B63" s="72">
        <f t="shared" si="10"/>
        <v>55</v>
      </c>
      <c r="C63" s="4"/>
      <c r="D63" s="4"/>
      <c r="E63" s="4"/>
      <c r="F63" s="53" t="s">
        <v>73</v>
      </c>
      <c r="G63" s="4">
        <v>632</v>
      </c>
      <c r="H63" s="4" t="s">
        <v>138</v>
      </c>
      <c r="I63" s="23">
        <f>161770</f>
        <v>161770</v>
      </c>
      <c r="J63" s="23">
        <v>138739</v>
      </c>
      <c r="K63" s="198">
        <f t="shared" si="13"/>
        <v>85.763120479693384</v>
      </c>
      <c r="L63" s="23"/>
      <c r="M63" s="23"/>
      <c r="N63" s="198"/>
      <c r="O63" s="23">
        <f t="shared" si="11"/>
        <v>161770</v>
      </c>
      <c r="P63" s="23">
        <f t="shared" si="12"/>
        <v>138739</v>
      </c>
      <c r="Q63" s="203">
        <f t="shared" si="8"/>
        <v>85.763120479693384</v>
      </c>
    </row>
    <row r="64" spans="2:17" x14ac:dyDescent="0.2">
      <c r="B64" s="72">
        <f t="shared" si="10"/>
        <v>56</v>
      </c>
      <c r="C64" s="4"/>
      <c r="D64" s="4"/>
      <c r="E64" s="4"/>
      <c r="F64" s="53" t="s">
        <v>73</v>
      </c>
      <c r="G64" s="4">
        <v>633</v>
      </c>
      <c r="H64" s="4" t="s">
        <v>131</v>
      </c>
      <c r="I64" s="23">
        <f>38000+2700</f>
        <v>40700</v>
      </c>
      <c r="J64" s="23">
        <v>40024</v>
      </c>
      <c r="K64" s="198">
        <f t="shared" si="13"/>
        <v>98.339066339066335</v>
      </c>
      <c r="L64" s="23"/>
      <c r="M64" s="23"/>
      <c r="N64" s="198"/>
      <c r="O64" s="23">
        <f t="shared" si="11"/>
        <v>40700</v>
      </c>
      <c r="P64" s="23">
        <f t="shared" si="12"/>
        <v>40024</v>
      </c>
      <c r="Q64" s="203">
        <f t="shared" si="8"/>
        <v>98.339066339066335</v>
      </c>
    </row>
    <row r="65" spans="2:17" x14ac:dyDescent="0.2">
      <c r="B65" s="72">
        <f t="shared" si="10"/>
        <v>57</v>
      </c>
      <c r="C65" s="4"/>
      <c r="D65" s="4"/>
      <c r="E65" s="4"/>
      <c r="F65" s="53" t="s">
        <v>73</v>
      </c>
      <c r="G65" s="4">
        <v>635</v>
      </c>
      <c r="H65" s="4" t="s">
        <v>137</v>
      </c>
      <c r="I65" s="23">
        <v>33000</v>
      </c>
      <c r="J65" s="23">
        <v>19420</v>
      </c>
      <c r="K65" s="198">
        <f t="shared" si="13"/>
        <v>58.848484848484851</v>
      </c>
      <c r="L65" s="23"/>
      <c r="M65" s="23"/>
      <c r="N65" s="198"/>
      <c r="O65" s="23">
        <f t="shared" si="11"/>
        <v>33000</v>
      </c>
      <c r="P65" s="23">
        <f t="shared" si="12"/>
        <v>19420</v>
      </c>
      <c r="Q65" s="203">
        <f t="shared" si="8"/>
        <v>58.848484848484851</v>
      </c>
    </row>
    <row r="66" spans="2:17" x14ac:dyDescent="0.2">
      <c r="B66" s="72">
        <f t="shared" si="10"/>
        <v>58</v>
      </c>
      <c r="C66" s="4"/>
      <c r="D66" s="4"/>
      <c r="E66" s="4"/>
      <c r="F66" s="53" t="s">
        <v>73</v>
      </c>
      <c r="G66" s="4">
        <v>637</v>
      </c>
      <c r="H66" s="4" t="s">
        <v>128</v>
      </c>
      <c r="I66" s="23">
        <v>225000</v>
      </c>
      <c r="J66" s="23">
        <f>223999+276-2</f>
        <v>224273</v>
      </c>
      <c r="K66" s="198">
        <f t="shared" si="13"/>
        <v>99.676888888888897</v>
      </c>
      <c r="L66" s="23"/>
      <c r="M66" s="23"/>
      <c r="N66" s="198"/>
      <c r="O66" s="23">
        <f t="shared" si="11"/>
        <v>225000</v>
      </c>
      <c r="P66" s="23">
        <f t="shared" si="12"/>
        <v>224273</v>
      </c>
      <c r="Q66" s="203">
        <f t="shared" si="8"/>
        <v>99.676888888888897</v>
      </c>
    </row>
    <row r="67" spans="2:17" x14ac:dyDescent="0.2">
      <c r="B67" s="72">
        <f t="shared" si="10"/>
        <v>59</v>
      </c>
      <c r="C67" s="12"/>
      <c r="D67" s="12"/>
      <c r="E67" s="12"/>
      <c r="F67" s="52" t="s">
        <v>73</v>
      </c>
      <c r="G67" s="12">
        <v>640</v>
      </c>
      <c r="H67" s="12" t="s">
        <v>134</v>
      </c>
      <c r="I67" s="49">
        <v>25000</v>
      </c>
      <c r="J67" s="49">
        <v>8138</v>
      </c>
      <c r="K67" s="198">
        <f t="shared" si="13"/>
        <v>32.552</v>
      </c>
      <c r="L67" s="49"/>
      <c r="M67" s="49"/>
      <c r="N67" s="198"/>
      <c r="O67" s="49">
        <f t="shared" si="11"/>
        <v>25000</v>
      </c>
      <c r="P67" s="49">
        <f t="shared" si="12"/>
        <v>8138</v>
      </c>
      <c r="Q67" s="203">
        <f t="shared" si="8"/>
        <v>32.552</v>
      </c>
    </row>
    <row r="68" spans="2:17" x14ac:dyDescent="0.2">
      <c r="B68" s="72">
        <f t="shared" si="10"/>
        <v>60</v>
      </c>
      <c r="C68" s="12"/>
      <c r="D68" s="12"/>
      <c r="E68" s="12"/>
      <c r="F68" s="52" t="s">
        <v>34</v>
      </c>
      <c r="G68" s="12">
        <v>630</v>
      </c>
      <c r="H68" s="12" t="s">
        <v>127</v>
      </c>
      <c r="I68" s="49">
        <f>I69</f>
        <v>10000</v>
      </c>
      <c r="J68" s="49">
        <f>J69</f>
        <v>10000</v>
      </c>
      <c r="K68" s="198">
        <f t="shared" si="13"/>
        <v>100</v>
      </c>
      <c r="L68" s="49">
        <f>L69</f>
        <v>0</v>
      </c>
      <c r="M68" s="49">
        <f>M69</f>
        <v>0</v>
      </c>
      <c r="N68" s="198"/>
      <c r="O68" s="49">
        <f t="shared" si="11"/>
        <v>10000</v>
      </c>
      <c r="P68" s="49">
        <f t="shared" si="12"/>
        <v>10000</v>
      </c>
      <c r="Q68" s="203">
        <f t="shared" si="8"/>
        <v>100</v>
      </c>
    </row>
    <row r="69" spans="2:17" x14ac:dyDescent="0.2">
      <c r="B69" s="72">
        <f t="shared" si="10"/>
        <v>61</v>
      </c>
      <c r="C69" s="4"/>
      <c r="D69" s="4"/>
      <c r="E69" s="4"/>
      <c r="F69" s="53" t="s">
        <v>34</v>
      </c>
      <c r="G69" s="4">
        <v>637</v>
      </c>
      <c r="H69" s="4" t="s">
        <v>128</v>
      </c>
      <c r="I69" s="73">
        <f>15000-5000</f>
        <v>10000</v>
      </c>
      <c r="J69" s="73">
        <v>10000</v>
      </c>
      <c r="K69" s="198">
        <f t="shared" si="13"/>
        <v>100</v>
      </c>
      <c r="L69" s="23"/>
      <c r="M69" s="23"/>
      <c r="N69" s="198"/>
      <c r="O69" s="23">
        <f t="shared" si="11"/>
        <v>10000</v>
      </c>
      <c r="P69" s="23">
        <f t="shared" si="12"/>
        <v>10000</v>
      </c>
      <c r="Q69" s="203">
        <f t="shared" si="8"/>
        <v>100</v>
      </c>
    </row>
    <row r="70" spans="2:17" x14ac:dyDescent="0.2">
      <c r="B70" s="72">
        <f t="shared" si="10"/>
        <v>62</v>
      </c>
      <c r="C70" s="12"/>
      <c r="D70" s="12"/>
      <c r="E70" s="12"/>
      <c r="F70" s="52" t="s">
        <v>220</v>
      </c>
      <c r="G70" s="12">
        <v>650</v>
      </c>
      <c r="H70" s="12" t="s">
        <v>221</v>
      </c>
      <c r="I70" s="49">
        <f>350000-24775-2500-42050-68000-2000-8500-4000-10000</f>
        <v>188175</v>
      </c>
      <c r="J70" s="49">
        <v>152265</v>
      </c>
      <c r="K70" s="198">
        <f t="shared" si="13"/>
        <v>80.916699880430457</v>
      </c>
      <c r="L70" s="49"/>
      <c r="M70" s="49"/>
      <c r="N70" s="198"/>
      <c r="O70" s="49">
        <f t="shared" si="11"/>
        <v>188175</v>
      </c>
      <c r="P70" s="49">
        <f t="shared" si="12"/>
        <v>152265</v>
      </c>
      <c r="Q70" s="203">
        <f t="shared" si="8"/>
        <v>80.916699880430457</v>
      </c>
    </row>
    <row r="71" spans="2:17" x14ac:dyDescent="0.2">
      <c r="B71" s="72">
        <f t="shared" si="10"/>
        <v>63</v>
      </c>
      <c r="C71" s="12"/>
      <c r="D71" s="12"/>
      <c r="E71" s="12"/>
      <c r="F71" s="52" t="s">
        <v>73</v>
      </c>
      <c r="G71" s="12">
        <v>710</v>
      </c>
      <c r="H71" s="12" t="s">
        <v>183</v>
      </c>
      <c r="I71" s="49">
        <f>I72</f>
        <v>0</v>
      </c>
      <c r="J71" s="49">
        <f>J72</f>
        <v>0</v>
      </c>
      <c r="K71" s="198"/>
      <c r="L71" s="49">
        <f>L72</f>
        <v>3310</v>
      </c>
      <c r="M71" s="49">
        <f>M72</f>
        <v>3310</v>
      </c>
      <c r="N71" s="198">
        <f>M71/L71*100</f>
        <v>100</v>
      </c>
      <c r="O71" s="49">
        <f t="shared" si="11"/>
        <v>3310</v>
      </c>
      <c r="P71" s="49">
        <f t="shared" si="12"/>
        <v>3310</v>
      </c>
      <c r="Q71" s="203">
        <f t="shared" ref="Q71:Q91" si="14">P71/O71*100</f>
        <v>100</v>
      </c>
    </row>
    <row r="72" spans="2:17" x14ac:dyDescent="0.2">
      <c r="B72" s="72">
        <f t="shared" si="10"/>
        <v>64</v>
      </c>
      <c r="C72" s="4"/>
      <c r="D72" s="55"/>
      <c r="E72" s="4"/>
      <c r="F72" s="82" t="s">
        <v>73</v>
      </c>
      <c r="G72" s="83">
        <v>717</v>
      </c>
      <c r="H72" s="83" t="s">
        <v>193</v>
      </c>
      <c r="I72" s="84"/>
      <c r="J72" s="84"/>
      <c r="K72" s="198"/>
      <c r="L72" s="84">
        <f>L73</f>
        <v>3310</v>
      </c>
      <c r="M72" s="84">
        <f>M73</f>
        <v>3310</v>
      </c>
      <c r="N72" s="198">
        <f>M72/L72*100</f>
        <v>100</v>
      </c>
      <c r="O72" s="84">
        <f t="shared" si="11"/>
        <v>3310</v>
      </c>
      <c r="P72" s="84">
        <f t="shared" si="12"/>
        <v>3310</v>
      </c>
      <c r="Q72" s="203">
        <f t="shared" si="14"/>
        <v>100</v>
      </c>
    </row>
    <row r="73" spans="2:17" x14ac:dyDescent="0.2">
      <c r="B73" s="72">
        <f t="shared" si="10"/>
        <v>65</v>
      </c>
      <c r="C73" s="4"/>
      <c r="D73" s="55"/>
      <c r="E73" s="4"/>
      <c r="F73" s="53"/>
      <c r="G73" s="4"/>
      <c r="H73" s="35" t="s">
        <v>412</v>
      </c>
      <c r="I73" s="23"/>
      <c r="J73" s="23"/>
      <c r="K73" s="198"/>
      <c r="L73" s="23">
        <v>3310</v>
      </c>
      <c r="M73" s="23">
        <v>3310</v>
      </c>
      <c r="N73" s="198">
        <f>M73/L73*100</f>
        <v>100</v>
      </c>
      <c r="O73" s="23">
        <f t="shared" si="11"/>
        <v>3310</v>
      </c>
      <c r="P73" s="23">
        <f t="shared" si="12"/>
        <v>3310</v>
      </c>
      <c r="Q73" s="203">
        <f t="shared" si="14"/>
        <v>100</v>
      </c>
    </row>
    <row r="74" spans="2:17" ht="15" x14ac:dyDescent="0.2">
      <c r="B74" s="72">
        <f t="shared" si="10"/>
        <v>66</v>
      </c>
      <c r="C74" s="179">
        <v>6</v>
      </c>
      <c r="D74" s="257" t="s">
        <v>58</v>
      </c>
      <c r="E74" s="253"/>
      <c r="F74" s="253"/>
      <c r="G74" s="253"/>
      <c r="H74" s="254"/>
      <c r="I74" s="45">
        <f>I75</f>
        <v>7000</v>
      </c>
      <c r="J74" s="45">
        <f>J75</f>
        <v>6654</v>
      </c>
      <c r="K74" s="198">
        <f t="shared" ref="K74:K82" si="15">J74/I74*100</f>
        <v>95.057142857142864</v>
      </c>
      <c r="L74" s="45">
        <f>L75</f>
        <v>0</v>
      </c>
      <c r="M74" s="45">
        <f>M75</f>
        <v>0</v>
      </c>
      <c r="N74" s="198"/>
      <c r="O74" s="45">
        <f t="shared" si="11"/>
        <v>7000</v>
      </c>
      <c r="P74" s="45">
        <f t="shared" si="12"/>
        <v>6654</v>
      </c>
      <c r="Q74" s="203">
        <f t="shared" si="14"/>
        <v>95.057142857142864</v>
      </c>
    </row>
    <row r="75" spans="2:17" x14ac:dyDescent="0.2">
      <c r="B75" s="72">
        <f t="shared" ref="B75:B91" si="16">B74+1</f>
        <v>67</v>
      </c>
      <c r="C75" s="12"/>
      <c r="D75" s="12"/>
      <c r="E75" s="12"/>
      <c r="F75" s="52" t="s">
        <v>73</v>
      </c>
      <c r="G75" s="12">
        <v>630</v>
      </c>
      <c r="H75" s="12" t="s">
        <v>127</v>
      </c>
      <c r="I75" s="49">
        <f>I77+I76</f>
        <v>7000</v>
      </c>
      <c r="J75" s="49">
        <f>J77+J76</f>
        <v>6654</v>
      </c>
      <c r="K75" s="198">
        <f t="shared" si="15"/>
        <v>95.057142857142864</v>
      </c>
      <c r="L75" s="49">
        <f>L77+L76</f>
        <v>0</v>
      </c>
      <c r="M75" s="49">
        <f>M77+M76</f>
        <v>0</v>
      </c>
      <c r="N75" s="198"/>
      <c r="O75" s="49">
        <f t="shared" si="11"/>
        <v>7000</v>
      </c>
      <c r="P75" s="49">
        <f t="shared" si="12"/>
        <v>6654</v>
      </c>
      <c r="Q75" s="203">
        <f t="shared" si="14"/>
        <v>95.057142857142864</v>
      </c>
    </row>
    <row r="76" spans="2:17" x14ac:dyDescent="0.2">
      <c r="B76" s="72">
        <f t="shared" si="16"/>
        <v>68</v>
      </c>
      <c r="C76" s="4"/>
      <c r="D76" s="4"/>
      <c r="E76" s="4"/>
      <c r="F76" s="53" t="s">
        <v>73</v>
      </c>
      <c r="G76" s="4">
        <v>631</v>
      </c>
      <c r="H76" s="4" t="s">
        <v>133</v>
      </c>
      <c r="I76" s="23">
        <v>2500</v>
      </c>
      <c r="J76" s="23">
        <v>2483</v>
      </c>
      <c r="K76" s="198">
        <f t="shared" si="15"/>
        <v>99.32</v>
      </c>
      <c r="L76" s="23"/>
      <c r="M76" s="23"/>
      <c r="N76" s="198"/>
      <c r="O76" s="23">
        <f t="shared" si="11"/>
        <v>2500</v>
      </c>
      <c r="P76" s="23">
        <f t="shared" si="12"/>
        <v>2483</v>
      </c>
      <c r="Q76" s="203">
        <f t="shared" si="14"/>
        <v>99.32</v>
      </c>
    </row>
    <row r="77" spans="2:17" x14ac:dyDescent="0.2">
      <c r="B77" s="72">
        <f t="shared" si="16"/>
        <v>69</v>
      </c>
      <c r="C77" s="4"/>
      <c r="D77" s="4"/>
      <c r="E77" s="4"/>
      <c r="F77" s="53" t="s">
        <v>163</v>
      </c>
      <c r="G77" s="4">
        <v>637</v>
      </c>
      <c r="H77" s="4" t="s">
        <v>128</v>
      </c>
      <c r="I77" s="23">
        <v>4500</v>
      </c>
      <c r="J77" s="23">
        <v>4171</v>
      </c>
      <c r="K77" s="198">
        <f t="shared" si="15"/>
        <v>92.688888888888883</v>
      </c>
      <c r="L77" s="23"/>
      <c r="M77" s="23"/>
      <c r="N77" s="198"/>
      <c r="O77" s="23">
        <f t="shared" si="11"/>
        <v>4500</v>
      </c>
      <c r="P77" s="23">
        <f t="shared" si="12"/>
        <v>4171</v>
      </c>
      <c r="Q77" s="203">
        <f t="shared" si="14"/>
        <v>92.688888888888883</v>
      </c>
    </row>
    <row r="78" spans="2:17" ht="15" x14ac:dyDescent="0.2">
      <c r="B78" s="72">
        <f t="shared" si="16"/>
        <v>70</v>
      </c>
      <c r="C78" s="179">
        <v>7</v>
      </c>
      <c r="D78" s="257" t="s">
        <v>139</v>
      </c>
      <c r="E78" s="253"/>
      <c r="F78" s="253"/>
      <c r="G78" s="253"/>
      <c r="H78" s="254"/>
      <c r="I78" s="45">
        <f>I79+I83</f>
        <v>148700</v>
      </c>
      <c r="J78" s="45">
        <f>J79+J83</f>
        <v>145773</v>
      </c>
      <c r="K78" s="198">
        <f t="shared" si="15"/>
        <v>98.031607262945528</v>
      </c>
      <c r="L78" s="45">
        <f>L79+L83</f>
        <v>76000</v>
      </c>
      <c r="M78" s="45">
        <f>M79+M83</f>
        <v>64946</v>
      </c>
      <c r="N78" s="198">
        <f>M78/L78*100</f>
        <v>85.455263157894734</v>
      </c>
      <c r="O78" s="45">
        <f t="shared" si="11"/>
        <v>224700</v>
      </c>
      <c r="P78" s="45">
        <f t="shared" si="12"/>
        <v>210719</v>
      </c>
      <c r="Q78" s="203">
        <f t="shared" si="14"/>
        <v>93.777926123720505</v>
      </c>
    </row>
    <row r="79" spans="2:17" x14ac:dyDescent="0.2">
      <c r="B79" s="72">
        <f t="shared" si="16"/>
        <v>71</v>
      </c>
      <c r="C79" s="12"/>
      <c r="D79" s="12"/>
      <c r="E79" s="12"/>
      <c r="F79" s="52" t="s">
        <v>73</v>
      </c>
      <c r="G79" s="12">
        <v>630</v>
      </c>
      <c r="H79" s="12" t="s">
        <v>127</v>
      </c>
      <c r="I79" s="49">
        <f>I80+I81+I82</f>
        <v>148700</v>
      </c>
      <c r="J79" s="49">
        <f>J80+J81+J82</f>
        <v>145773</v>
      </c>
      <c r="K79" s="198">
        <f t="shared" si="15"/>
        <v>98.031607262945528</v>
      </c>
      <c r="L79" s="49">
        <v>0</v>
      </c>
      <c r="M79" s="49"/>
      <c r="N79" s="198"/>
      <c r="O79" s="49">
        <f t="shared" si="11"/>
        <v>148700</v>
      </c>
      <c r="P79" s="49">
        <f t="shared" si="12"/>
        <v>145773</v>
      </c>
      <c r="Q79" s="203">
        <f t="shared" si="14"/>
        <v>98.031607262945528</v>
      </c>
    </row>
    <row r="80" spans="2:17" x14ac:dyDescent="0.2">
      <c r="B80" s="72">
        <f t="shared" si="16"/>
        <v>72</v>
      </c>
      <c r="C80" s="4"/>
      <c r="D80" s="4"/>
      <c r="E80" s="4"/>
      <c r="F80" s="53" t="s">
        <v>73</v>
      </c>
      <c r="G80" s="4">
        <v>632</v>
      </c>
      <c r="H80" s="4" t="s">
        <v>138</v>
      </c>
      <c r="I80" s="23">
        <f>4700-800</f>
        <v>3900</v>
      </c>
      <c r="J80" s="23">
        <v>3348</v>
      </c>
      <c r="K80" s="198">
        <f t="shared" si="15"/>
        <v>85.846153846153854</v>
      </c>
      <c r="L80" s="23"/>
      <c r="M80" s="23"/>
      <c r="N80" s="198"/>
      <c r="O80" s="23">
        <f t="shared" si="11"/>
        <v>3900</v>
      </c>
      <c r="P80" s="23">
        <f t="shared" si="12"/>
        <v>3348</v>
      </c>
      <c r="Q80" s="203">
        <f t="shared" si="14"/>
        <v>85.846153846153854</v>
      </c>
    </row>
    <row r="81" spans="2:17" x14ac:dyDescent="0.2">
      <c r="B81" s="72">
        <f t="shared" si="16"/>
        <v>73</v>
      </c>
      <c r="C81" s="4"/>
      <c r="D81" s="4"/>
      <c r="E81" s="4"/>
      <c r="F81" s="53" t="s">
        <v>73</v>
      </c>
      <c r="G81" s="4">
        <v>633</v>
      </c>
      <c r="H81" s="4" t="s">
        <v>131</v>
      </c>
      <c r="I81" s="23">
        <f>21000+5800</f>
        <v>26800</v>
      </c>
      <c r="J81" s="23">
        <v>26088</v>
      </c>
      <c r="K81" s="198">
        <f t="shared" si="15"/>
        <v>97.343283582089555</v>
      </c>
      <c r="L81" s="23"/>
      <c r="M81" s="23"/>
      <c r="N81" s="198"/>
      <c r="O81" s="23">
        <f t="shared" si="11"/>
        <v>26800</v>
      </c>
      <c r="P81" s="23">
        <f t="shared" si="12"/>
        <v>26088</v>
      </c>
      <c r="Q81" s="203">
        <f t="shared" si="14"/>
        <v>97.343283582089555</v>
      </c>
    </row>
    <row r="82" spans="2:17" x14ac:dyDescent="0.2">
      <c r="B82" s="72">
        <f t="shared" si="16"/>
        <v>74</v>
      </c>
      <c r="C82" s="4"/>
      <c r="D82" s="4"/>
      <c r="E82" s="4"/>
      <c r="F82" s="53" t="s">
        <v>73</v>
      </c>
      <c r="G82" s="4">
        <v>635</v>
      </c>
      <c r="H82" s="4" t="s">
        <v>137</v>
      </c>
      <c r="I82" s="23">
        <f>123000-5000</f>
        <v>118000</v>
      </c>
      <c r="J82" s="23">
        <v>116337</v>
      </c>
      <c r="K82" s="198">
        <f t="shared" si="15"/>
        <v>98.590677966101694</v>
      </c>
      <c r="L82" s="23"/>
      <c r="M82" s="23"/>
      <c r="N82" s="198"/>
      <c r="O82" s="23">
        <f t="shared" si="11"/>
        <v>118000</v>
      </c>
      <c r="P82" s="23">
        <f t="shared" si="12"/>
        <v>116337</v>
      </c>
      <c r="Q82" s="203">
        <f t="shared" si="14"/>
        <v>98.590677966101694</v>
      </c>
    </row>
    <row r="83" spans="2:17" x14ac:dyDescent="0.2">
      <c r="B83" s="72">
        <f t="shared" si="16"/>
        <v>75</v>
      </c>
      <c r="C83" s="12"/>
      <c r="D83" s="12"/>
      <c r="E83" s="12"/>
      <c r="F83" s="52" t="s">
        <v>73</v>
      </c>
      <c r="G83" s="12">
        <v>710</v>
      </c>
      <c r="H83" s="12" t="s">
        <v>183</v>
      </c>
      <c r="I83" s="49">
        <f>I86+I84</f>
        <v>0</v>
      </c>
      <c r="J83" s="49">
        <f>J86+J84</f>
        <v>0</v>
      </c>
      <c r="K83" s="198"/>
      <c r="L83" s="49">
        <f>L86+L84</f>
        <v>76000</v>
      </c>
      <c r="M83" s="49">
        <f>M86+M84</f>
        <v>64946</v>
      </c>
      <c r="N83" s="198">
        <f>M83/L83*100</f>
        <v>85.455263157894734</v>
      </c>
      <c r="O83" s="49">
        <f t="shared" si="11"/>
        <v>76000</v>
      </c>
      <c r="P83" s="49">
        <f t="shared" si="12"/>
        <v>64946</v>
      </c>
      <c r="Q83" s="203">
        <f t="shared" si="14"/>
        <v>85.455263157894734</v>
      </c>
    </row>
    <row r="84" spans="2:17" x14ac:dyDescent="0.2">
      <c r="B84" s="72">
        <f t="shared" si="16"/>
        <v>76</v>
      </c>
      <c r="C84" s="4"/>
      <c r="D84" s="4"/>
      <c r="E84" s="4"/>
      <c r="F84" s="82" t="s">
        <v>73</v>
      </c>
      <c r="G84" s="83">
        <v>711</v>
      </c>
      <c r="H84" s="83" t="s">
        <v>222</v>
      </c>
      <c r="I84" s="84"/>
      <c r="J84" s="84"/>
      <c r="K84" s="198"/>
      <c r="L84" s="84">
        <f>L85</f>
        <v>72000</v>
      </c>
      <c r="M84" s="84">
        <f>M85</f>
        <v>60948</v>
      </c>
      <c r="N84" s="198">
        <f>M84/L84*100</f>
        <v>84.65</v>
      </c>
      <c r="O84" s="84">
        <f t="shared" si="11"/>
        <v>72000</v>
      </c>
      <c r="P84" s="84">
        <f t="shared" si="12"/>
        <v>60948</v>
      </c>
      <c r="Q84" s="203">
        <f t="shared" si="14"/>
        <v>84.65</v>
      </c>
    </row>
    <row r="85" spans="2:17" x14ac:dyDescent="0.2">
      <c r="B85" s="72">
        <f t="shared" si="16"/>
        <v>77</v>
      </c>
      <c r="C85" s="4"/>
      <c r="D85" s="4"/>
      <c r="E85" s="4"/>
      <c r="F85" s="53"/>
      <c r="G85" s="4"/>
      <c r="H85" s="4" t="s">
        <v>178</v>
      </c>
      <c r="I85" s="23"/>
      <c r="J85" s="23"/>
      <c r="K85" s="198"/>
      <c r="L85" s="23">
        <f>75000-5000+2000</f>
        <v>72000</v>
      </c>
      <c r="M85" s="23">
        <v>60948</v>
      </c>
      <c r="N85" s="198">
        <f>M85/L85*100</f>
        <v>84.65</v>
      </c>
      <c r="O85" s="23">
        <f t="shared" si="11"/>
        <v>72000</v>
      </c>
      <c r="P85" s="23">
        <f t="shared" si="12"/>
        <v>60948</v>
      </c>
      <c r="Q85" s="203">
        <f t="shared" si="14"/>
        <v>84.65</v>
      </c>
    </row>
    <row r="86" spans="2:17" x14ac:dyDescent="0.2">
      <c r="B86" s="72">
        <f t="shared" si="16"/>
        <v>78</v>
      </c>
      <c r="C86" s="4"/>
      <c r="D86" s="55"/>
      <c r="E86" s="4"/>
      <c r="F86" s="82" t="s">
        <v>73</v>
      </c>
      <c r="G86" s="83">
        <v>713</v>
      </c>
      <c r="H86" s="85" t="s">
        <v>4</v>
      </c>
      <c r="I86" s="84"/>
      <c r="J86" s="84"/>
      <c r="K86" s="198"/>
      <c r="L86" s="84">
        <f>L87</f>
        <v>4000</v>
      </c>
      <c r="M86" s="84">
        <f>M87</f>
        <v>3998</v>
      </c>
      <c r="N86" s="198">
        <f>M86/L86*100</f>
        <v>99.95</v>
      </c>
      <c r="O86" s="84">
        <f t="shared" si="11"/>
        <v>4000</v>
      </c>
      <c r="P86" s="84">
        <f t="shared" si="12"/>
        <v>3998</v>
      </c>
      <c r="Q86" s="203">
        <f t="shared" si="14"/>
        <v>99.95</v>
      </c>
    </row>
    <row r="87" spans="2:17" x14ac:dyDescent="0.2">
      <c r="B87" s="72">
        <f t="shared" si="16"/>
        <v>79</v>
      </c>
      <c r="C87" s="4"/>
      <c r="D87" s="55"/>
      <c r="E87" s="4"/>
      <c r="F87" s="53"/>
      <c r="G87" s="4"/>
      <c r="H87" s="35" t="s">
        <v>3</v>
      </c>
      <c r="I87" s="23"/>
      <c r="J87" s="23"/>
      <c r="K87" s="198"/>
      <c r="L87" s="23">
        <f>10000-2000-4000</f>
        <v>4000</v>
      </c>
      <c r="M87" s="23">
        <v>3998</v>
      </c>
      <c r="N87" s="198">
        <f>M87/L87*100</f>
        <v>99.95</v>
      </c>
      <c r="O87" s="23">
        <f t="shared" si="11"/>
        <v>4000</v>
      </c>
      <c r="P87" s="23">
        <f t="shared" si="12"/>
        <v>3998</v>
      </c>
      <c r="Q87" s="203">
        <f t="shared" si="14"/>
        <v>99.95</v>
      </c>
    </row>
    <row r="88" spans="2:17" ht="15" x14ac:dyDescent="0.2">
      <c r="B88" s="72">
        <f t="shared" si="16"/>
        <v>80</v>
      </c>
      <c r="C88" s="179">
        <v>8</v>
      </c>
      <c r="D88" s="257" t="s">
        <v>36</v>
      </c>
      <c r="E88" s="253"/>
      <c r="F88" s="253"/>
      <c r="G88" s="253"/>
      <c r="H88" s="254"/>
      <c r="I88" s="45">
        <f>I89</f>
        <v>30000</v>
      </c>
      <c r="J88" s="45">
        <f>J89</f>
        <v>26020</v>
      </c>
      <c r="K88" s="198">
        <f>J88/I88*100</f>
        <v>86.733333333333334</v>
      </c>
      <c r="L88" s="45">
        <f>L89</f>
        <v>0</v>
      </c>
      <c r="M88" s="45">
        <f>M89</f>
        <v>0</v>
      </c>
      <c r="N88" s="198"/>
      <c r="O88" s="45">
        <f t="shared" si="11"/>
        <v>30000</v>
      </c>
      <c r="P88" s="45">
        <f t="shared" si="12"/>
        <v>26020</v>
      </c>
      <c r="Q88" s="203">
        <f t="shared" si="14"/>
        <v>86.733333333333334</v>
      </c>
    </row>
    <row r="89" spans="2:17" x14ac:dyDescent="0.2">
      <c r="B89" s="72">
        <f t="shared" si="16"/>
        <v>81</v>
      </c>
      <c r="C89" s="12"/>
      <c r="D89" s="12"/>
      <c r="E89" s="12"/>
      <c r="F89" s="52" t="s">
        <v>73</v>
      </c>
      <c r="G89" s="12">
        <v>630</v>
      </c>
      <c r="H89" s="12" t="s">
        <v>127</v>
      </c>
      <c r="I89" s="49">
        <f>I91+I90</f>
        <v>30000</v>
      </c>
      <c r="J89" s="49">
        <f>J91+J90</f>
        <v>26020</v>
      </c>
      <c r="K89" s="198">
        <f>J89/I89*100</f>
        <v>86.733333333333334</v>
      </c>
      <c r="L89" s="49">
        <f>L91+L90</f>
        <v>0</v>
      </c>
      <c r="M89" s="49">
        <f>M91+M90</f>
        <v>0</v>
      </c>
      <c r="N89" s="198"/>
      <c r="O89" s="49">
        <f t="shared" si="11"/>
        <v>30000</v>
      </c>
      <c r="P89" s="49">
        <f t="shared" si="12"/>
        <v>26020</v>
      </c>
      <c r="Q89" s="203">
        <f t="shared" si="14"/>
        <v>86.733333333333334</v>
      </c>
    </row>
    <row r="90" spans="2:17" x14ac:dyDescent="0.2">
      <c r="B90" s="72">
        <f t="shared" si="16"/>
        <v>82</v>
      </c>
      <c r="C90" s="4"/>
      <c r="D90" s="4"/>
      <c r="E90" s="4"/>
      <c r="F90" s="53" t="s">
        <v>73</v>
      </c>
      <c r="G90" s="4">
        <v>634</v>
      </c>
      <c r="H90" s="4" t="s">
        <v>136</v>
      </c>
      <c r="I90" s="23">
        <v>29450</v>
      </c>
      <c r="J90" s="23">
        <v>25518</v>
      </c>
      <c r="K90" s="198">
        <f>J90/I90*100</f>
        <v>86.648556876061122</v>
      </c>
      <c r="L90" s="23"/>
      <c r="M90" s="23"/>
      <c r="N90" s="198"/>
      <c r="O90" s="23">
        <f t="shared" si="11"/>
        <v>29450</v>
      </c>
      <c r="P90" s="23">
        <f t="shared" si="12"/>
        <v>25518</v>
      </c>
      <c r="Q90" s="203">
        <f t="shared" si="14"/>
        <v>86.648556876061122</v>
      </c>
    </row>
    <row r="91" spans="2:17" x14ac:dyDescent="0.2">
      <c r="B91" s="72">
        <f t="shared" si="16"/>
        <v>83</v>
      </c>
      <c r="C91" s="4"/>
      <c r="D91" s="4"/>
      <c r="E91" s="4"/>
      <c r="F91" s="53" t="s">
        <v>73</v>
      </c>
      <c r="G91" s="4">
        <v>637</v>
      </c>
      <c r="H91" s="4" t="s">
        <v>128</v>
      </c>
      <c r="I91" s="23">
        <v>550</v>
      </c>
      <c r="J91" s="23">
        <v>502</v>
      </c>
      <c r="K91" s="198">
        <f>J91/I91*100</f>
        <v>91.272727272727266</v>
      </c>
      <c r="L91" s="23"/>
      <c r="M91" s="23"/>
      <c r="N91" s="198"/>
      <c r="O91" s="23">
        <f t="shared" si="11"/>
        <v>550</v>
      </c>
      <c r="P91" s="23">
        <f t="shared" si="12"/>
        <v>502</v>
      </c>
      <c r="Q91" s="203">
        <f t="shared" si="14"/>
        <v>91.272727272727266</v>
      </c>
    </row>
  </sheetData>
  <mergeCells count="30">
    <mergeCell ref="B3:O3"/>
    <mergeCell ref="O4:O8"/>
    <mergeCell ref="B5:B8"/>
    <mergeCell ref="C5:C8"/>
    <mergeCell ref="D5:D8"/>
    <mergeCell ref="E5:E8"/>
    <mergeCell ref="F5:F8"/>
    <mergeCell ref="G5:G8"/>
    <mergeCell ref="H5:H8"/>
    <mergeCell ref="B4:N4"/>
    <mergeCell ref="Q4:Q8"/>
    <mergeCell ref="D33:H33"/>
    <mergeCell ref="D59:H59"/>
    <mergeCell ref="D74:H74"/>
    <mergeCell ref="C9:H9"/>
    <mergeCell ref="D10:H10"/>
    <mergeCell ref="D13:H13"/>
    <mergeCell ref="E14:H14"/>
    <mergeCell ref="E17:H17"/>
    <mergeCell ref="I5:I8"/>
    <mergeCell ref="L5:L8"/>
    <mergeCell ref="J5:J8"/>
    <mergeCell ref="K5:K8"/>
    <mergeCell ref="E23:H23"/>
    <mergeCell ref="D29:H29"/>
    <mergeCell ref="D78:H78"/>
    <mergeCell ref="D88:H88"/>
    <mergeCell ref="M5:M8"/>
    <mergeCell ref="N5:N8"/>
    <mergeCell ref="P4:P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83"/>
  <sheetViews>
    <sheetView zoomScale="90" zoomScaleNormal="90" workbookViewId="0"/>
  </sheetViews>
  <sheetFormatPr defaultRowHeight="12.75" x14ac:dyDescent="0.2"/>
  <cols>
    <col min="2" max="2" width="4.7109375" customWidth="1"/>
    <col min="3" max="3" width="3.85546875" customWidth="1"/>
    <col min="4" max="4" width="3.5703125" customWidth="1"/>
    <col min="5" max="5" width="5.85546875" customWidth="1"/>
    <col min="6" max="6" width="6.140625" customWidth="1"/>
    <col min="7" max="7" width="5.85546875" customWidth="1"/>
    <col min="8" max="8" width="50.85546875" customWidth="1"/>
    <col min="9" max="9" width="13.5703125" customWidth="1"/>
    <col min="10" max="10" width="12.42578125" customWidth="1"/>
    <col min="11" max="11" width="6.85546875" customWidth="1"/>
    <col min="12" max="12" width="12.42578125" customWidth="1"/>
    <col min="13" max="13" width="12.140625" customWidth="1"/>
    <col min="14" max="14" width="7.42578125" customWidth="1"/>
    <col min="15" max="15" width="12.28515625" customWidth="1"/>
    <col min="16" max="16" width="11.85546875" customWidth="1"/>
    <col min="17" max="17" width="7.140625" customWidth="1"/>
  </cols>
  <sheetData>
    <row r="4" spans="2:17" ht="27" x14ac:dyDescent="0.35">
      <c r="B4" s="264" t="s">
        <v>296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2:17" x14ac:dyDescent="0.2">
      <c r="B5" s="271" t="s">
        <v>280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190"/>
      <c r="N5" s="190"/>
      <c r="O5" s="261" t="s">
        <v>575</v>
      </c>
      <c r="P5" s="250" t="s">
        <v>768</v>
      </c>
      <c r="Q5" s="251" t="s">
        <v>765</v>
      </c>
    </row>
    <row r="6" spans="2:17" x14ac:dyDescent="0.2">
      <c r="B6" s="266" t="s">
        <v>111</v>
      </c>
      <c r="C6" s="255" t="s">
        <v>119</v>
      </c>
      <c r="D6" s="255" t="s">
        <v>120</v>
      </c>
      <c r="E6" s="258" t="s">
        <v>124</v>
      </c>
      <c r="F6" s="255" t="s">
        <v>121</v>
      </c>
      <c r="G6" s="255" t="s">
        <v>122</v>
      </c>
      <c r="H6" s="273" t="s">
        <v>123</v>
      </c>
      <c r="I6" s="261" t="s">
        <v>572</v>
      </c>
      <c r="J6" s="250" t="s">
        <v>766</v>
      </c>
      <c r="K6" s="251" t="s">
        <v>765</v>
      </c>
      <c r="L6" s="261" t="s">
        <v>573</v>
      </c>
      <c r="M6" s="250" t="s">
        <v>767</v>
      </c>
      <c r="N6" s="251" t="s">
        <v>765</v>
      </c>
      <c r="O6" s="262"/>
      <c r="P6" s="250"/>
      <c r="Q6" s="251"/>
    </row>
    <row r="7" spans="2:17" x14ac:dyDescent="0.2">
      <c r="B7" s="266"/>
      <c r="C7" s="255"/>
      <c r="D7" s="255"/>
      <c r="E7" s="259"/>
      <c r="F7" s="255"/>
      <c r="G7" s="255"/>
      <c r="H7" s="273"/>
      <c r="I7" s="262"/>
      <c r="J7" s="250"/>
      <c r="K7" s="251"/>
      <c r="L7" s="262"/>
      <c r="M7" s="250"/>
      <c r="N7" s="251"/>
      <c r="O7" s="262"/>
      <c r="P7" s="250"/>
      <c r="Q7" s="251"/>
    </row>
    <row r="8" spans="2:17" x14ac:dyDescent="0.2">
      <c r="B8" s="266"/>
      <c r="C8" s="255"/>
      <c r="D8" s="255"/>
      <c r="E8" s="259"/>
      <c r="F8" s="255"/>
      <c r="G8" s="255"/>
      <c r="H8" s="273"/>
      <c r="I8" s="262"/>
      <c r="J8" s="250"/>
      <c r="K8" s="251"/>
      <c r="L8" s="262"/>
      <c r="M8" s="250"/>
      <c r="N8" s="251"/>
      <c r="O8" s="262"/>
      <c r="P8" s="250"/>
      <c r="Q8" s="251"/>
    </row>
    <row r="9" spans="2:17" ht="13.5" thickBot="1" x14ac:dyDescent="0.25">
      <c r="B9" s="267"/>
      <c r="C9" s="256"/>
      <c r="D9" s="256"/>
      <c r="E9" s="260"/>
      <c r="F9" s="256"/>
      <c r="G9" s="256"/>
      <c r="H9" s="274"/>
      <c r="I9" s="263"/>
      <c r="J9" s="250"/>
      <c r="K9" s="251"/>
      <c r="L9" s="263"/>
      <c r="M9" s="250"/>
      <c r="N9" s="251"/>
      <c r="O9" s="263"/>
      <c r="P9" s="250"/>
      <c r="Q9" s="251"/>
    </row>
    <row r="10" spans="2:17" ht="16.5" thickTop="1" x14ac:dyDescent="0.2">
      <c r="B10" s="71">
        <v>1</v>
      </c>
      <c r="C10" s="268" t="s">
        <v>296</v>
      </c>
      <c r="D10" s="269"/>
      <c r="E10" s="269"/>
      <c r="F10" s="269"/>
      <c r="G10" s="269"/>
      <c r="H10" s="270"/>
      <c r="I10" s="100">
        <f>I74+I59+I47+I37+I27+I16+I11</f>
        <v>506040</v>
      </c>
      <c r="J10" s="100">
        <f>J74+J59+J47+J37+J27+J16+J11</f>
        <v>464408</v>
      </c>
      <c r="K10" s="198">
        <f t="shared" ref="K10:K41" si="0">J10/I10*100</f>
        <v>91.772982372934948</v>
      </c>
      <c r="L10" s="100">
        <f>L74+L59+L47+L37+L27+L16+L11</f>
        <v>61513</v>
      </c>
      <c r="M10" s="100">
        <f>M74+M59+M47+M37+M27+M16+M11</f>
        <v>39377</v>
      </c>
      <c r="N10" s="198">
        <f>M10/L10*100</f>
        <v>64.014110838359372</v>
      </c>
      <c r="O10" s="44">
        <f t="shared" ref="O10:O41" si="1">I10+L10</f>
        <v>567553</v>
      </c>
      <c r="P10" s="44">
        <f t="shared" ref="P10:P41" si="2">J10+M10</f>
        <v>503785</v>
      </c>
      <c r="Q10" s="203">
        <f t="shared" ref="Q10:Q41" si="3">P10/O10*100</f>
        <v>88.764397333817286</v>
      </c>
    </row>
    <row r="11" spans="2:17" ht="15" x14ac:dyDescent="0.2">
      <c r="B11" s="72">
        <f t="shared" ref="B11:B54" si="4">B10+1</f>
        <v>2</v>
      </c>
      <c r="C11" s="179">
        <v>1</v>
      </c>
      <c r="D11" s="257" t="s">
        <v>191</v>
      </c>
      <c r="E11" s="253"/>
      <c r="F11" s="253"/>
      <c r="G11" s="253"/>
      <c r="H11" s="254"/>
      <c r="I11" s="45">
        <f>I12+I13</f>
        <v>27500</v>
      </c>
      <c r="J11" s="45">
        <f>J12+J13</f>
        <v>25734</v>
      </c>
      <c r="K11" s="198">
        <f t="shared" si="0"/>
        <v>93.578181818181818</v>
      </c>
      <c r="L11" s="45">
        <f>L12+L13</f>
        <v>0</v>
      </c>
      <c r="M11" s="45">
        <f>M12+M13</f>
        <v>0</v>
      </c>
      <c r="N11" s="198"/>
      <c r="O11" s="45">
        <f t="shared" si="1"/>
        <v>27500</v>
      </c>
      <c r="P11" s="45">
        <f t="shared" si="2"/>
        <v>25734</v>
      </c>
      <c r="Q11" s="203">
        <f t="shared" si="3"/>
        <v>93.578181818181818</v>
      </c>
    </row>
    <row r="12" spans="2:17" x14ac:dyDescent="0.2">
      <c r="B12" s="72">
        <f t="shared" si="4"/>
        <v>3</v>
      </c>
      <c r="C12" s="12"/>
      <c r="D12" s="12"/>
      <c r="E12" s="12"/>
      <c r="F12" s="52" t="s">
        <v>74</v>
      </c>
      <c r="G12" s="12">
        <v>620</v>
      </c>
      <c r="H12" s="12" t="s">
        <v>130</v>
      </c>
      <c r="I12" s="49">
        <v>3900</v>
      </c>
      <c r="J12" s="49">
        <v>3900</v>
      </c>
      <c r="K12" s="198">
        <f t="shared" si="0"/>
        <v>100</v>
      </c>
      <c r="L12" s="49"/>
      <c r="M12" s="49"/>
      <c r="N12" s="198"/>
      <c r="O12" s="49">
        <f t="shared" si="1"/>
        <v>3900</v>
      </c>
      <c r="P12" s="49">
        <f t="shared" si="2"/>
        <v>3900</v>
      </c>
      <c r="Q12" s="203">
        <f t="shared" si="3"/>
        <v>100</v>
      </c>
    </row>
    <row r="13" spans="2:17" x14ac:dyDescent="0.2">
      <c r="B13" s="72">
        <f t="shared" si="4"/>
        <v>4</v>
      </c>
      <c r="C13" s="12"/>
      <c r="D13" s="12"/>
      <c r="E13" s="12"/>
      <c r="F13" s="52" t="s">
        <v>74</v>
      </c>
      <c r="G13" s="12">
        <v>630</v>
      </c>
      <c r="H13" s="12" t="s">
        <v>127</v>
      </c>
      <c r="I13" s="49">
        <f>I15+I14</f>
        <v>23600</v>
      </c>
      <c r="J13" s="49">
        <f>J15+J14</f>
        <v>21834</v>
      </c>
      <c r="K13" s="198">
        <f t="shared" si="0"/>
        <v>92.516949152542367</v>
      </c>
      <c r="L13" s="49">
        <f>L15+L14</f>
        <v>0</v>
      </c>
      <c r="M13" s="49">
        <f>M15+M14</f>
        <v>0</v>
      </c>
      <c r="N13" s="198"/>
      <c r="O13" s="49">
        <f t="shared" si="1"/>
        <v>23600</v>
      </c>
      <c r="P13" s="49">
        <f t="shared" si="2"/>
        <v>21834</v>
      </c>
      <c r="Q13" s="203">
        <f t="shared" si="3"/>
        <v>92.516949152542367</v>
      </c>
    </row>
    <row r="14" spans="2:17" x14ac:dyDescent="0.2">
      <c r="B14" s="72">
        <f t="shared" si="4"/>
        <v>5</v>
      </c>
      <c r="C14" s="4"/>
      <c r="D14" s="4"/>
      <c r="E14" s="4"/>
      <c r="F14" s="53" t="s">
        <v>74</v>
      </c>
      <c r="G14" s="4">
        <v>633</v>
      </c>
      <c r="H14" s="4" t="s">
        <v>131</v>
      </c>
      <c r="I14" s="23">
        <v>3100</v>
      </c>
      <c r="J14" s="23">
        <v>3043</v>
      </c>
      <c r="K14" s="198">
        <f t="shared" si="0"/>
        <v>98.161290322580641</v>
      </c>
      <c r="L14" s="23"/>
      <c r="M14" s="23"/>
      <c r="N14" s="198"/>
      <c r="O14" s="23">
        <f t="shared" si="1"/>
        <v>3100</v>
      </c>
      <c r="P14" s="23">
        <f t="shared" si="2"/>
        <v>3043</v>
      </c>
      <c r="Q14" s="203">
        <f t="shared" si="3"/>
        <v>98.161290322580641</v>
      </c>
    </row>
    <row r="15" spans="2:17" x14ac:dyDescent="0.2">
      <c r="B15" s="72">
        <f t="shared" si="4"/>
        <v>6</v>
      </c>
      <c r="C15" s="4"/>
      <c r="D15" s="4"/>
      <c r="E15" s="4"/>
      <c r="F15" s="53" t="s">
        <v>74</v>
      </c>
      <c r="G15" s="4">
        <v>637</v>
      </c>
      <c r="H15" s="4" t="s">
        <v>128</v>
      </c>
      <c r="I15" s="23">
        <v>20500</v>
      </c>
      <c r="J15" s="23">
        <v>18791</v>
      </c>
      <c r="K15" s="198">
        <f t="shared" si="0"/>
        <v>91.663414634146349</v>
      </c>
      <c r="L15" s="23"/>
      <c r="M15" s="23"/>
      <c r="N15" s="198"/>
      <c r="O15" s="23">
        <f t="shared" si="1"/>
        <v>20500</v>
      </c>
      <c r="P15" s="23">
        <f t="shared" si="2"/>
        <v>18791</v>
      </c>
      <c r="Q15" s="203">
        <f t="shared" si="3"/>
        <v>91.663414634146349</v>
      </c>
    </row>
    <row r="16" spans="2:17" ht="15" x14ac:dyDescent="0.2">
      <c r="B16" s="72">
        <f t="shared" si="4"/>
        <v>7</v>
      </c>
      <c r="C16" s="179">
        <v>2</v>
      </c>
      <c r="D16" s="257" t="s">
        <v>195</v>
      </c>
      <c r="E16" s="253"/>
      <c r="F16" s="253"/>
      <c r="G16" s="253"/>
      <c r="H16" s="254"/>
      <c r="I16" s="45">
        <f>I17+I18+I19+I26</f>
        <v>100485</v>
      </c>
      <c r="J16" s="45">
        <f>J17+J18+J19+J26</f>
        <v>98117</v>
      </c>
      <c r="K16" s="198">
        <f t="shared" si="0"/>
        <v>97.643429367567308</v>
      </c>
      <c r="L16" s="45">
        <f>L17+L18+L19+L26</f>
        <v>0</v>
      </c>
      <c r="M16" s="45">
        <f>M17+M18+M19+M26</f>
        <v>0</v>
      </c>
      <c r="N16" s="198"/>
      <c r="O16" s="45">
        <f t="shared" si="1"/>
        <v>100485</v>
      </c>
      <c r="P16" s="45">
        <f t="shared" si="2"/>
        <v>98117</v>
      </c>
      <c r="Q16" s="203">
        <f t="shared" si="3"/>
        <v>97.643429367567308</v>
      </c>
    </row>
    <row r="17" spans="2:17" x14ac:dyDescent="0.2">
      <c r="B17" s="72">
        <f t="shared" si="4"/>
        <v>8</v>
      </c>
      <c r="C17" s="12"/>
      <c r="D17" s="12"/>
      <c r="E17" s="12"/>
      <c r="F17" s="52" t="s">
        <v>194</v>
      </c>
      <c r="G17" s="12">
        <v>610</v>
      </c>
      <c r="H17" s="12" t="s">
        <v>135</v>
      </c>
      <c r="I17" s="49">
        <f>56000+4800-1000</f>
        <v>59800</v>
      </c>
      <c r="J17" s="49">
        <v>59054</v>
      </c>
      <c r="K17" s="198">
        <f t="shared" si="0"/>
        <v>98.752508361204022</v>
      </c>
      <c r="L17" s="49"/>
      <c r="M17" s="49"/>
      <c r="N17" s="198"/>
      <c r="O17" s="49">
        <f t="shared" si="1"/>
        <v>59800</v>
      </c>
      <c r="P17" s="49">
        <f t="shared" si="2"/>
        <v>59054</v>
      </c>
      <c r="Q17" s="203">
        <f t="shared" si="3"/>
        <v>98.752508361204022</v>
      </c>
    </row>
    <row r="18" spans="2:17" x14ac:dyDescent="0.2">
      <c r="B18" s="72">
        <f t="shared" si="4"/>
        <v>9</v>
      </c>
      <c r="C18" s="12"/>
      <c r="D18" s="12"/>
      <c r="E18" s="12"/>
      <c r="F18" s="52" t="s">
        <v>194</v>
      </c>
      <c r="G18" s="12">
        <v>620</v>
      </c>
      <c r="H18" s="12" t="s">
        <v>130</v>
      </c>
      <c r="I18" s="49">
        <f>20900+1772+1000</f>
        <v>23672</v>
      </c>
      <c r="J18" s="49">
        <v>23448</v>
      </c>
      <c r="K18" s="198">
        <f t="shared" si="0"/>
        <v>99.053734369719507</v>
      </c>
      <c r="L18" s="49"/>
      <c r="M18" s="49"/>
      <c r="N18" s="198"/>
      <c r="O18" s="49">
        <f t="shared" si="1"/>
        <v>23672</v>
      </c>
      <c r="P18" s="49">
        <f t="shared" si="2"/>
        <v>23448</v>
      </c>
      <c r="Q18" s="203">
        <f t="shared" si="3"/>
        <v>99.053734369719507</v>
      </c>
    </row>
    <row r="19" spans="2:17" x14ac:dyDescent="0.2">
      <c r="B19" s="72">
        <f t="shared" si="4"/>
        <v>10</v>
      </c>
      <c r="C19" s="12"/>
      <c r="D19" s="12"/>
      <c r="E19" s="12"/>
      <c r="F19" s="52" t="s">
        <v>194</v>
      </c>
      <c r="G19" s="12">
        <v>630</v>
      </c>
      <c r="H19" s="12" t="s">
        <v>127</v>
      </c>
      <c r="I19" s="49">
        <f>I24+I23+I22+I21+I20+I25</f>
        <v>16813</v>
      </c>
      <c r="J19" s="49">
        <f>J24+J23+J22+J21+J20+J25</f>
        <v>15477</v>
      </c>
      <c r="K19" s="198">
        <f t="shared" si="0"/>
        <v>92.053767917682748</v>
      </c>
      <c r="L19" s="49">
        <f>L24+L23+L22+L21+L20</f>
        <v>0</v>
      </c>
      <c r="M19" s="49">
        <f>M24+M23+M22+M21+M20</f>
        <v>0</v>
      </c>
      <c r="N19" s="198"/>
      <c r="O19" s="49">
        <f t="shared" si="1"/>
        <v>16813</v>
      </c>
      <c r="P19" s="49">
        <f t="shared" si="2"/>
        <v>15477</v>
      </c>
      <c r="Q19" s="203">
        <f t="shared" si="3"/>
        <v>92.053767917682748</v>
      </c>
    </row>
    <row r="20" spans="2:17" x14ac:dyDescent="0.2">
      <c r="B20" s="72">
        <f t="shared" si="4"/>
        <v>11</v>
      </c>
      <c r="C20" s="4"/>
      <c r="D20" s="4"/>
      <c r="E20" s="4"/>
      <c r="F20" s="53" t="s">
        <v>194</v>
      </c>
      <c r="G20" s="4">
        <v>631</v>
      </c>
      <c r="H20" s="4" t="s">
        <v>133</v>
      </c>
      <c r="I20" s="23">
        <v>500</v>
      </c>
      <c r="J20" s="23">
        <v>137</v>
      </c>
      <c r="K20" s="198">
        <f t="shared" si="0"/>
        <v>27.400000000000002</v>
      </c>
      <c r="L20" s="23"/>
      <c r="M20" s="23"/>
      <c r="N20" s="198"/>
      <c r="O20" s="23">
        <f t="shared" si="1"/>
        <v>500</v>
      </c>
      <c r="P20" s="23">
        <f t="shared" si="2"/>
        <v>137</v>
      </c>
      <c r="Q20" s="203">
        <f t="shared" si="3"/>
        <v>27.400000000000002</v>
      </c>
    </row>
    <row r="21" spans="2:17" x14ac:dyDescent="0.2">
      <c r="B21" s="72">
        <f t="shared" si="4"/>
        <v>12</v>
      </c>
      <c r="C21" s="4"/>
      <c r="D21" s="4"/>
      <c r="E21" s="4"/>
      <c r="F21" s="53" t="s">
        <v>194</v>
      </c>
      <c r="G21" s="4">
        <v>632</v>
      </c>
      <c r="H21" s="4" t="s">
        <v>138</v>
      </c>
      <c r="I21" s="23">
        <f>1800+1300-1000</f>
        <v>2100</v>
      </c>
      <c r="J21" s="23">
        <v>2573</v>
      </c>
      <c r="K21" s="198">
        <f t="shared" si="0"/>
        <v>122.52380952380952</v>
      </c>
      <c r="L21" s="23"/>
      <c r="M21" s="23"/>
      <c r="N21" s="198"/>
      <c r="O21" s="23">
        <f t="shared" si="1"/>
        <v>2100</v>
      </c>
      <c r="P21" s="23">
        <f t="shared" si="2"/>
        <v>2573</v>
      </c>
      <c r="Q21" s="203">
        <f t="shared" si="3"/>
        <v>122.52380952380952</v>
      </c>
    </row>
    <row r="22" spans="2:17" x14ac:dyDescent="0.2">
      <c r="B22" s="72">
        <f t="shared" si="4"/>
        <v>13</v>
      </c>
      <c r="C22" s="4"/>
      <c r="D22" s="4"/>
      <c r="E22" s="4"/>
      <c r="F22" s="53" t="s">
        <v>194</v>
      </c>
      <c r="G22" s="4">
        <v>633</v>
      </c>
      <c r="H22" s="4" t="s">
        <v>131</v>
      </c>
      <c r="I22" s="23">
        <f>2800+1000+3362-1300</f>
        <v>5862</v>
      </c>
      <c r="J22" s="23">
        <v>5022</v>
      </c>
      <c r="K22" s="198">
        <f t="shared" si="0"/>
        <v>85.670419651995914</v>
      </c>
      <c r="L22" s="23"/>
      <c r="M22" s="23"/>
      <c r="N22" s="198"/>
      <c r="O22" s="23">
        <f t="shared" si="1"/>
        <v>5862</v>
      </c>
      <c r="P22" s="23">
        <f t="shared" si="2"/>
        <v>5022</v>
      </c>
      <c r="Q22" s="203">
        <f t="shared" si="3"/>
        <v>85.670419651995914</v>
      </c>
    </row>
    <row r="23" spans="2:17" x14ac:dyDescent="0.2">
      <c r="B23" s="72">
        <f t="shared" si="4"/>
        <v>14</v>
      </c>
      <c r="C23" s="4"/>
      <c r="D23" s="4"/>
      <c r="E23" s="4"/>
      <c r="F23" s="53" t="s">
        <v>194</v>
      </c>
      <c r="G23" s="4">
        <v>635</v>
      </c>
      <c r="H23" s="4" t="s">
        <v>137</v>
      </c>
      <c r="I23" s="23">
        <v>100</v>
      </c>
      <c r="J23" s="23">
        <v>0</v>
      </c>
      <c r="K23" s="198">
        <f t="shared" si="0"/>
        <v>0</v>
      </c>
      <c r="L23" s="23"/>
      <c r="M23" s="23"/>
      <c r="N23" s="198"/>
      <c r="O23" s="23">
        <f t="shared" si="1"/>
        <v>100</v>
      </c>
      <c r="P23" s="23">
        <f t="shared" si="2"/>
        <v>0</v>
      </c>
      <c r="Q23" s="203">
        <f t="shared" si="3"/>
        <v>0</v>
      </c>
    </row>
    <row r="24" spans="2:17" x14ac:dyDescent="0.2">
      <c r="B24" s="72">
        <f t="shared" si="4"/>
        <v>15</v>
      </c>
      <c r="C24" s="4"/>
      <c r="D24" s="4"/>
      <c r="E24" s="4"/>
      <c r="F24" s="53" t="s">
        <v>194</v>
      </c>
      <c r="G24" s="4">
        <v>637</v>
      </c>
      <c r="H24" s="4" t="s">
        <v>128</v>
      </c>
      <c r="I24" s="23">
        <f>6900+200</f>
        <v>7100</v>
      </c>
      <c r="J24" s="23">
        <f>7745-J25</f>
        <v>6594</v>
      </c>
      <c r="K24" s="198">
        <f t="shared" si="0"/>
        <v>92.873239436619713</v>
      </c>
      <c r="L24" s="23"/>
      <c r="M24" s="23"/>
      <c r="N24" s="198"/>
      <c r="O24" s="23">
        <f t="shared" si="1"/>
        <v>7100</v>
      </c>
      <c r="P24" s="23">
        <f t="shared" si="2"/>
        <v>6594</v>
      </c>
      <c r="Q24" s="203">
        <f t="shared" si="3"/>
        <v>92.873239436619713</v>
      </c>
    </row>
    <row r="25" spans="2:17" x14ac:dyDescent="0.2">
      <c r="B25" s="72">
        <f t="shared" si="4"/>
        <v>16</v>
      </c>
      <c r="C25" s="4"/>
      <c r="D25" s="4"/>
      <c r="E25" s="4"/>
      <c r="F25" s="53" t="s">
        <v>194</v>
      </c>
      <c r="G25" s="4">
        <v>630</v>
      </c>
      <c r="H25" s="4" t="s">
        <v>582</v>
      </c>
      <c r="I25" s="23">
        <v>1151</v>
      </c>
      <c r="J25" s="23">
        <f>1151</f>
        <v>1151</v>
      </c>
      <c r="K25" s="198">
        <f t="shared" si="0"/>
        <v>100</v>
      </c>
      <c r="L25" s="23"/>
      <c r="M25" s="23"/>
      <c r="N25" s="198"/>
      <c r="O25" s="23">
        <f t="shared" si="1"/>
        <v>1151</v>
      </c>
      <c r="P25" s="23">
        <f t="shared" si="2"/>
        <v>1151</v>
      </c>
      <c r="Q25" s="203">
        <f t="shared" si="3"/>
        <v>100</v>
      </c>
    </row>
    <row r="26" spans="2:17" x14ac:dyDescent="0.2">
      <c r="B26" s="72">
        <f t="shared" si="4"/>
        <v>17</v>
      </c>
      <c r="C26" s="12"/>
      <c r="D26" s="12"/>
      <c r="E26" s="12"/>
      <c r="F26" s="52" t="s">
        <v>194</v>
      </c>
      <c r="G26" s="12">
        <v>640</v>
      </c>
      <c r="H26" s="12" t="s">
        <v>134</v>
      </c>
      <c r="I26" s="49">
        <v>200</v>
      </c>
      <c r="J26" s="49">
        <v>138</v>
      </c>
      <c r="K26" s="198">
        <f t="shared" si="0"/>
        <v>69</v>
      </c>
      <c r="L26" s="49"/>
      <c r="M26" s="49"/>
      <c r="N26" s="198"/>
      <c r="O26" s="49">
        <f t="shared" si="1"/>
        <v>200</v>
      </c>
      <c r="P26" s="49">
        <f t="shared" si="2"/>
        <v>138</v>
      </c>
      <c r="Q26" s="203">
        <f t="shared" si="3"/>
        <v>69</v>
      </c>
    </row>
    <row r="27" spans="2:17" ht="15" x14ac:dyDescent="0.2">
      <c r="B27" s="72">
        <f t="shared" si="4"/>
        <v>18</v>
      </c>
      <c r="C27" s="179">
        <v>3</v>
      </c>
      <c r="D27" s="257" t="s">
        <v>177</v>
      </c>
      <c r="E27" s="253"/>
      <c r="F27" s="253"/>
      <c r="G27" s="253"/>
      <c r="H27" s="254"/>
      <c r="I27" s="45">
        <f>I28+I29+I30+I36</f>
        <v>172220</v>
      </c>
      <c r="J27" s="45">
        <f>J28+J29+J30+J36</f>
        <v>171321</v>
      </c>
      <c r="K27" s="198">
        <f t="shared" si="0"/>
        <v>99.477993264429216</v>
      </c>
      <c r="L27" s="45">
        <f>L28+L29+L30+L36</f>
        <v>0</v>
      </c>
      <c r="M27" s="45">
        <f>M28+M29+M30+M36</f>
        <v>0</v>
      </c>
      <c r="N27" s="198"/>
      <c r="O27" s="45">
        <f t="shared" si="1"/>
        <v>172220</v>
      </c>
      <c r="P27" s="45">
        <f t="shared" si="2"/>
        <v>171321</v>
      </c>
      <c r="Q27" s="203">
        <f t="shared" si="3"/>
        <v>99.477993264429216</v>
      </c>
    </row>
    <row r="28" spans="2:17" x14ac:dyDescent="0.2">
      <c r="B28" s="72">
        <f t="shared" si="4"/>
        <v>19</v>
      </c>
      <c r="C28" s="12"/>
      <c r="D28" s="12"/>
      <c r="E28" s="12"/>
      <c r="F28" s="52" t="s">
        <v>73</v>
      </c>
      <c r="G28" s="12">
        <v>610</v>
      </c>
      <c r="H28" s="12" t="s">
        <v>135</v>
      </c>
      <c r="I28" s="49">
        <f>111145+3880-10</f>
        <v>115015</v>
      </c>
      <c r="J28" s="49">
        <v>115015</v>
      </c>
      <c r="K28" s="198">
        <f t="shared" si="0"/>
        <v>100</v>
      </c>
      <c r="L28" s="49"/>
      <c r="M28" s="49"/>
      <c r="N28" s="198"/>
      <c r="O28" s="49">
        <f t="shared" si="1"/>
        <v>115015</v>
      </c>
      <c r="P28" s="49">
        <f t="shared" si="2"/>
        <v>115015</v>
      </c>
      <c r="Q28" s="203">
        <f t="shared" si="3"/>
        <v>100</v>
      </c>
    </row>
    <row r="29" spans="2:17" x14ac:dyDescent="0.2">
      <c r="B29" s="72">
        <f t="shared" si="4"/>
        <v>20</v>
      </c>
      <c r="C29" s="12"/>
      <c r="D29" s="12"/>
      <c r="E29" s="12"/>
      <c r="F29" s="52" t="s">
        <v>73</v>
      </c>
      <c r="G29" s="12">
        <v>620</v>
      </c>
      <c r="H29" s="12" t="s">
        <v>130</v>
      </c>
      <c r="I29" s="49">
        <f>42565-10</f>
        <v>42555</v>
      </c>
      <c r="J29" s="49">
        <v>42555</v>
      </c>
      <c r="K29" s="198">
        <f t="shared" si="0"/>
        <v>100</v>
      </c>
      <c r="L29" s="49"/>
      <c r="M29" s="49"/>
      <c r="N29" s="198"/>
      <c r="O29" s="49">
        <f t="shared" si="1"/>
        <v>42555</v>
      </c>
      <c r="P29" s="49">
        <f t="shared" si="2"/>
        <v>42555</v>
      </c>
      <c r="Q29" s="203">
        <f t="shared" si="3"/>
        <v>100</v>
      </c>
    </row>
    <row r="30" spans="2:17" x14ac:dyDescent="0.2">
      <c r="B30" s="72">
        <f t="shared" si="4"/>
        <v>21</v>
      </c>
      <c r="C30" s="12"/>
      <c r="D30" s="12"/>
      <c r="E30" s="12"/>
      <c r="F30" s="52" t="s">
        <v>73</v>
      </c>
      <c r="G30" s="12">
        <v>630</v>
      </c>
      <c r="H30" s="12" t="s">
        <v>127</v>
      </c>
      <c r="I30" s="49">
        <f>I34+I33+I32+I31+I35</f>
        <v>14250</v>
      </c>
      <c r="J30" s="49">
        <f>J34+J33+J32+J31+J35</f>
        <v>13382</v>
      </c>
      <c r="K30" s="198">
        <f t="shared" si="0"/>
        <v>93.908771929824567</v>
      </c>
      <c r="L30" s="49">
        <f>L34+L33+L32+L31</f>
        <v>0</v>
      </c>
      <c r="M30" s="49">
        <f>M34+M33+M32+M31</f>
        <v>0</v>
      </c>
      <c r="N30" s="198"/>
      <c r="O30" s="49">
        <f t="shared" si="1"/>
        <v>14250</v>
      </c>
      <c r="P30" s="49">
        <f t="shared" si="2"/>
        <v>13382</v>
      </c>
      <c r="Q30" s="203">
        <f t="shared" si="3"/>
        <v>93.908771929824567</v>
      </c>
    </row>
    <row r="31" spans="2:17" x14ac:dyDescent="0.2">
      <c r="B31" s="72">
        <f t="shared" si="4"/>
        <v>22</v>
      </c>
      <c r="C31" s="4"/>
      <c r="D31" s="4"/>
      <c r="E31" s="4"/>
      <c r="F31" s="53" t="s">
        <v>73</v>
      </c>
      <c r="G31" s="4">
        <v>631</v>
      </c>
      <c r="H31" s="4" t="s">
        <v>133</v>
      </c>
      <c r="I31" s="23">
        <v>200</v>
      </c>
      <c r="J31" s="23"/>
      <c r="K31" s="198">
        <f t="shared" si="0"/>
        <v>0</v>
      </c>
      <c r="L31" s="23"/>
      <c r="M31" s="23"/>
      <c r="N31" s="198"/>
      <c r="O31" s="23">
        <f t="shared" si="1"/>
        <v>200</v>
      </c>
      <c r="P31" s="23">
        <f t="shared" si="2"/>
        <v>0</v>
      </c>
      <c r="Q31" s="203">
        <f t="shared" si="3"/>
        <v>0</v>
      </c>
    </row>
    <row r="32" spans="2:17" x14ac:dyDescent="0.2">
      <c r="B32" s="72">
        <f t="shared" si="4"/>
        <v>23</v>
      </c>
      <c r="C32" s="4"/>
      <c r="D32" s="4"/>
      <c r="E32" s="4"/>
      <c r="F32" s="53" t="s">
        <v>73</v>
      </c>
      <c r="G32" s="4">
        <v>632</v>
      </c>
      <c r="H32" s="4" t="s">
        <v>138</v>
      </c>
      <c r="I32" s="23">
        <f>1500</f>
        <v>1500</v>
      </c>
      <c r="J32" s="23">
        <v>1492</v>
      </c>
      <c r="K32" s="198">
        <f t="shared" si="0"/>
        <v>99.466666666666669</v>
      </c>
      <c r="L32" s="23"/>
      <c r="M32" s="23"/>
      <c r="N32" s="198"/>
      <c r="O32" s="23">
        <f t="shared" si="1"/>
        <v>1500</v>
      </c>
      <c r="P32" s="23">
        <f t="shared" si="2"/>
        <v>1492</v>
      </c>
      <c r="Q32" s="203">
        <f t="shared" si="3"/>
        <v>99.466666666666669</v>
      </c>
    </row>
    <row r="33" spans="2:17" x14ac:dyDescent="0.2">
      <c r="B33" s="72">
        <f t="shared" si="4"/>
        <v>24</v>
      </c>
      <c r="C33" s="4"/>
      <c r="D33" s="4"/>
      <c r="E33" s="4"/>
      <c r="F33" s="53" t="s">
        <v>73</v>
      </c>
      <c r="G33" s="4">
        <v>633</v>
      </c>
      <c r="H33" s="4" t="s">
        <v>131</v>
      </c>
      <c r="I33" s="23">
        <f>5680-2000-1900</f>
        <v>1780</v>
      </c>
      <c r="J33" s="23">
        <v>1504</v>
      </c>
      <c r="K33" s="198">
        <f t="shared" si="0"/>
        <v>84.49438202247191</v>
      </c>
      <c r="L33" s="23"/>
      <c r="M33" s="23"/>
      <c r="N33" s="198"/>
      <c r="O33" s="23">
        <f t="shared" si="1"/>
        <v>1780</v>
      </c>
      <c r="P33" s="23">
        <f t="shared" si="2"/>
        <v>1504</v>
      </c>
      <c r="Q33" s="203">
        <f t="shared" si="3"/>
        <v>84.49438202247191</v>
      </c>
    </row>
    <row r="34" spans="2:17" x14ac:dyDescent="0.2">
      <c r="B34" s="72">
        <f t="shared" si="4"/>
        <v>25</v>
      </c>
      <c r="C34" s="4"/>
      <c r="D34" s="4"/>
      <c r="E34" s="4"/>
      <c r="F34" s="53" t="s">
        <v>73</v>
      </c>
      <c r="G34" s="4">
        <v>637</v>
      </c>
      <c r="H34" s="4" t="s">
        <v>128</v>
      </c>
      <c r="I34" s="23">
        <f>8050+1900</f>
        <v>9950</v>
      </c>
      <c r="J34" s="23">
        <f>10386-J35</f>
        <v>9566</v>
      </c>
      <c r="K34" s="198">
        <f t="shared" si="0"/>
        <v>96.140703517587951</v>
      </c>
      <c r="L34" s="23"/>
      <c r="M34" s="23"/>
      <c r="N34" s="198"/>
      <c r="O34" s="23">
        <f t="shared" si="1"/>
        <v>9950</v>
      </c>
      <c r="P34" s="23">
        <f t="shared" si="2"/>
        <v>9566</v>
      </c>
      <c r="Q34" s="203">
        <f t="shared" si="3"/>
        <v>96.140703517587951</v>
      </c>
    </row>
    <row r="35" spans="2:17" x14ac:dyDescent="0.2">
      <c r="B35" s="72">
        <f t="shared" si="4"/>
        <v>26</v>
      </c>
      <c r="C35" s="4"/>
      <c r="D35" s="4"/>
      <c r="E35" s="4"/>
      <c r="F35" s="53" t="s">
        <v>73</v>
      </c>
      <c r="G35" s="4">
        <v>630</v>
      </c>
      <c r="H35" s="4" t="s">
        <v>582</v>
      </c>
      <c r="I35" s="23">
        <v>820</v>
      </c>
      <c r="J35" s="23">
        <v>820</v>
      </c>
      <c r="K35" s="198">
        <f t="shared" si="0"/>
        <v>100</v>
      </c>
      <c r="L35" s="23"/>
      <c r="M35" s="23"/>
      <c r="N35" s="198"/>
      <c r="O35" s="23">
        <f t="shared" si="1"/>
        <v>820</v>
      </c>
      <c r="P35" s="23">
        <f t="shared" si="2"/>
        <v>820</v>
      </c>
      <c r="Q35" s="203">
        <f t="shared" si="3"/>
        <v>100</v>
      </c>
    </row>
    <row r="36" spans="2:17" x14ac:dyDescent="0.2">
      <c r="B36" s="72">
        <f t="shared" si="4"/>
        <v>27</v>
      </c>
      <c r="C36" s="12"/>
      <c r="D36" s="12"/>
      <c r="E36" s="12"/>
      <c r="F36" s="52" t="s">
        <v>73</v>
      </c>
      <c r="G36" s="12">
        <v>640</v>
      </c>
      <c r="H36" s="12" t="s">
        <v>134</v>
      </c>
      <c r="I36" s="49">
        <v>400</v>
      </c>
      <c r="J36" s="49">
        <v>369</v>
      </c>
      <c r="K36" s="198">
        <f t="shared" si="0"/>
        <v>92.25</v>
      </c>
      <c r="L36" s="49"/>
      <c r="M36" s="49"/>
      <c r="N36" s="198"/>
      <c r="O36" s="49">
        <f t="shared" si="1"/>
        <v>400</v>
      </c>
      <c r="P36" s="49">
        <f t="shared" si="2"/>
        <v>369</v>
      </c>
      <c r="Q36" s="203">
        <f t="shared" si="3"/>
        <v>92.25</v>
      </c>
    </row>
    <row r="37" spans="2:17" ht="15" x14ac:dyDescent="0.2">
      <c r="B37" s="72">
        <f t="shared" si="4"/>
        <v>28</v>
      </c>
      <c r="C37" s="179">
        <v>4</v>
      </c>
      <c r="D37" s="257" t="s">
        <v>258</v>
      </c>
      <c r="E37" s="253"/>
      <c r="F37" s="253"/>
      <c r="G37" s="253"/>
      <c r="H37" s="254"/>
      <c r="I37" s="45">
        <f>I39+I40+I41+I46</f>
        <v>38200</v>
      </c>
      <c r="J37" s="45">
        <f>J39+J40+J41+J46</f>
        <v>34062</v>
      </c>
      <c r="K37" s="198">
        <f t="shared" si="0"/>
        <v>89.167539267015712</v>
      </c>
      <c r="L37" s="45">
        <f>L39+L40+L41+L46</f>
        <v>0</v>
      </c>
      <c r="M37" s="45">
        <f>M39+M40+M41+M46</f>
        <v>0</v>
      </c>
      <c r="N37" s="198"/>
      <c r="O37" s="45">
        <f t="shared" si="1"/>
        <v>38200</v>
      </c>
      <c r="P37" s="45">
        <f t="shared" si="2"/>
        <v>34062</v>
      </c>
      <c r="Q37" s="203">
        <f t="shared" si="3"/>
        <v>89.167539267015712</v>
      </c>
    </row>
    <row r="38" spans="2:17" ht="15" x14ac:dyDescent="0.25">
      <c r="B38" s="72">
        <f t="shared" si="4"/>
        <v>29</v>
      </c>
      <c r="C38" s="15"/>
      <c r="D38" s="15"/>
      <c r="E38" s="15">
        <v>2</v>
      </c>
      <c r="F38" s="50"/>
      <c r="G38" s="15"/>
      <c r="H38" s="15" t="s">
        <v>256</v>
      </c>
      <c r="I38" s="47">
        <f>I37</f>
        <v>38200</v>
      </c>
      <c r="J38" s="47">
        <f>J37</f>
        <v>34062</v>
      </c>
      <c r="K38" s="198">
        <f t="shared" si="0"/>
        <v>89.167539267015712</v>
      </c>
      <c r="L38" s="47">
        <f>L37</f>
        <v>0</v>
      </c>
      <c r="M38" s="47">
        <f>M37</f>
        <v>0</v>
      </c>
      <c r="N38" s="198"/>
      <c r="O38" s="47">
        <f t="shared" si="1"/>
        <v>38200</v>
      </c>
      <c r="P38" s="47">
        <f t="shared" si="2"/>
        <v>34062</v>
      </c>
      <c r="Q38" s="203">
        <f t="shared" si="3"/>
        <v>89.167539267015712</v>
      </c>
    </row>
    <row r="39" spans="2:17" x14ac:dyDescent="0.2">
      <c r="B39" s="72">
        <f t="shared" si="4"/>
        <v>30</v>
      </c>
      <c r="C39" s="12"/>
      <c r="D39" s="12"/>
      <c r="E39" s="12"/>
      <c r="F39" s="52" t="s">
        <v>204</v>
      </c>
      <c r="G39" s="12">
        <v>610</v>
      </c>
      <c r="H39" s="12" t="s">
        <v>135</v>
      </c>
      <c r="I39" s="49">
        <v>18400</v>
      </c>
      <c r="J39" s="49">
        <v>18400</v>
      </c>
      <c r="K39" s="198">
        <f t="shared" si="0"/>
        <v>100</v>
      </c>
      <c r="L39" s="49"/>
      <c r="M39" s="49"/>
      <c r="N39" s="198"/>
      <c r="O39" s="49">
        <f t="shared" si="1"/>
        <v>18400</v>
      </c>
      <c r="P39" s="49">
        <f t="shared" si="2"/>
        <v>18400</v>
      </c>
      <c r="Q39" s="203">
        <f t="shared" si="3"/>
        <v>100</v>
      </c>
    </row>
    <row r="40" spans="2:17" x14ac:dyDescent="0.2">
      <c r="B40" s="72">
        <f t="shared" si="4"/>
        <v>31</v>
      </c>
      <c r="C40" s="12"/>
      <c r="D40" s="12"/>
      <c r="E40" s="12"/>
      <c r="F40" s="52" t="s">
        <v>204</v>
      </c>
      <c r="G40" s="12">
        <v>620</v>
      </c>
      <c r="H40" s="12" t="s">
        <v>130</v>
      </c>
      <c r="I40" s="49">
        <v>6465</v>
      </c>
      <c r="J40" s="49">
        <v>6348</v>
      </c>
      <c r="K40" s="198">
        <f t="shared" si="0"/>
        <v>98.190255220417626</v>
      </c>
      <c r="L40" s="49"/>
      <c r="M40" s="49"/>
      <c r="N40" s="198"/>
      <c r="O40" s="49">
        <f t="shared" si="1"/>
        <v>6465</v>
      </c>
      <c r="P40" s="49">
        <f t="shared" si="2"/>
        <v>6348</v>
      </c>
      <c r="Q40" s="203">
        <f t="shared" si="3"/>
        <v>98.190255220417626</v>
      </c>
    </row>
    <row r="41" spans="2:17" x14ac:dyDescent="0.2">
      <c r="B41" s="72">
        <f t="shared" si="4"/>
        <v>32</v>
      </c>
      <c r="C41" s="12"/>
      <c r="D41" s="12"/>
      <c r="E41" s="12"/>
      <c r="F41" s="52" t="s">
        <v>204</v>
      </c>
      <c r="G41" s="12">
        <v>630</v>
      </c>
      <c r="H41" s="12" t="s">
        <v>127</v>
      </c>
      <c r="I41" s="49">
        <f>I45+I44+I43+I42</f>
        <v>13285</v>
      </c>
      <c r="J41" s="49">
        <f>J45+J44+J43+J42</f>
        <v>9314</v>
      </c>
      <c r="K41" s="198">
        <f t="shared" si="0"/>
        <v>70.109145652992098</v>
      </c>
      <c r="L41" s="49">
        <f>L45+L44+L43+L42</f>
        <v>0</v>
      </c>
      <c r="M41" s="49">
        <f>M45+M44+M43+M42</f>
        <v>0</v>
      </c>
      <c r="N41" s="198"/>
      <c r="O41" s="49">
        <f t="shared" si="1"/>
        <v>13285</v>
      </c>
      <c r="P41" s="49">
        <f t="shared" si="2"/>
        <v>9314</v>
      </c>
      <c r="Q41" s="203">
        <f t="shared" si="3"/>
        <v>70.109145652992098</v>
      </c>
    </row>
    <row r="42" spans="2:17" x14ac:dyDescent="0.2">
      <c r="B42" s="72">
        <f t="shared" si="4"/>
        <v>33</v>
      </c>
      <c r="C42" s="4"/>
      <c r="D42" s="4"/>
      <c r="E42" s="4"/>
      <c r="F42" s="53" t="s">
        <v>204</v>
      </c>
      <c r="G42" s="4">
        <v>632</v>
      </c>
      <c r="H42" s="4" t="s">
        <v>138</v>
      </c>
      <c r="I42" s="23">
        <v>7940</v>
      </c>
      <c r="J42" s="23">
        <v>5435</v>
      </c>
      <c r="K42" s="198">
        <f t="shared" ref="K42:K65" si="5">J42/I42*100</f>
        <v>68.450881612090669</v>
      </c>
      <c r="L42" s="23"/>
      <c r="M42" s="23"/>
      <c r="N42" s="198"/>
      <c r="O42" s="23">
        <f t="shared" ref="O42:O73" si="6">I42+L42</f>
        <v>7940</v>
      </c>
      <c r="P42" s="23">
        <f t="shared" ref="P42:P73" si="7">J42+M42</f>
        <v>5435</v>
      </c>
      <c r="Q42" s="203">
        <f t="shared" ref="Q42:Q73" si="8">P42/O42*100</f>
        <v>68.450881612090669</v>
      </c>
    </row>
    <row r="43" spans="2:17" x14ac:dyDescent="0.2">
      <c r="B43" s="72">
        <f t="shared" si="4"/>
        <v>34</v>
      </c>
      <c r="C43" s="4"/>
      <c r="D43" s="4"/>
      <c r="E43" s="4"/>
      <c r="F43" s="53" t="s">
        <v>204</v>
      </c>
      <c r="G43" s="4">
        <v>633</v>
      </c>
      <c r="H43" s="4" t="s">
        <v>131</v>
      </c>
      <c r="I43" s="23">
        <v>1730</v>
      </c>
      <c r="J43" s="23">
        <v>1630</v>
      </c>
      <c r="K43" s="198">
        <f t="shared" si="5"/>
        <v>94.219653179190757</v>
      </c>
      <c r="L43" s="23"/>
      <c r="M43" s="23"/>
      <c r="N43" s="198"/>
      <c r="O43" s="23">
        <f t="shared" si="6"/>
        <v>1730</v>
      </c>
      <c r="P43" s="23">
        <f t="shared" si="7"/>
        <v>1630</v>
      </c>
      <c r="Q43" s="203">
        <f t="shared" si="8"/>
        <v>94.219653179190757</v>
      </c>
    </row>
    <row r="44" spans="2:17" x14ac:dyDescent="0.2">
      <c r="B44" s="72">
        <f t="shared" si="4"/>
        <v>35</v>
      </c>
      <c r="C44" s="4"/>
      <c r="D44" s="4"/>
      <c r="E44" s="4"/>
      <c r="F44" s="53" t="s">
        <v>204</v>
      </c>
      <c r="G44" s="4">
        <v>635</v>
      </c>
      <c r="H44" s="4" t="s">
        <v>137</v>
      </c>
      <c r="I44" s="23">
        <v>400</v>
      </c>
      <c r="J44" s="23">
        <v>180</v>
      </c>
      <c r="K44" s="198">
        <f t="shared" si="5"/>
        <v>45</v>
      </c>
      <c r="L44" s="23"/>
      <c r="M44" s="23"/>
      <c r="N44" s="198"/>
      <c r="O44" s="23">
        <f t="shared" si="6"/>
        <v>400</v>
      </c>
      <c r="P44" s="23">
        <f t="shared" si="7"/>
        <v>180</v>
      </c>
      <c r="Q44" s="203">
        <f t="shared" si="8"/>
        <v>45</v>
      </c>
    </row>
    <row r="45" spans="2:17" x14ac:dyDescent="0.2">
      <c r="B45" s="72">
        <f t="shared" si="4"/>
        <v>36</v>
      </c>
      <c r="C45" s="4"/>
      <c r="D45" s="4"/>
      <c r="E45" s="4"/>
      <c r="F45" s="53" t="s">
        <v>204</v>
      </c>
      <c r="G45" s="4">
        <v>637</v>
      </c>
      <c r="H45" s="4" t="s">
        <v>128</v>
      </c>
      <c r="I45" s="23">
        <v>3215</v>
      </c>
      <c r="J45" s="23">
        <v>2069</v>
      </c>
      <c r="K45" s="198">
        <f t="shared" si="5"/>
        <v>64.354587869362362</v>
      </c>
      <c r="L45" s="23"/>
      <c r="M45" s="23"/>
      <c r="N45" s="198"/>
      <c r="O45" s="23">
        <f t="shared" si="6"/>
        <v>3215</v>
      </c>
      <c r="P45" s="23">
        <f t="shared" si="7"/>
        <v>2069</v>
      </c>
      <c r="Q45" s="203">
        <f t="shared" si="8"/>
        <v>64.354587869362362</v>
      </c>
    </row>
    <row r="46" spans="2:17" x14ac:dyDescent="0.2">
      <c r="B46" s="72">
        <f t="shared" si="4"/>
        <v>37</v>
      </c>
      <c r="C46" s="12"/>
      <c r="D46" s="12"/>
      <c r="E46" s="12"/>
      <c r="F46" s="52" t="s">
        <v>204</v>
      </c>
      <c r="G46" s="12">
        <v>640</v>
      </c>
      <c r="H46" s="12" t="s">
        <v>134</v>
      </c>
      <c r="I46" s="49">
        <v>50</v>
      </c>
      <c r="J46" s="49"/>
      <c r="K46" s="198">
        <f t="shared" si="5"/>
        <v>0</v>
      </c>
      <c r="L46" s="49"/>
      <c r="M46" s="49"/>
      <c r="N46" s="198"/>
      <c r="O46" s="49">
        <f t="shared" si="6"/>
        <v>50</v>
      </c>
      <c r="P46" s="49">
        <f t="shared" si="7"/>
        <v>0</v>
      </c>
      <c r="Q46" s="203">
        <f t="shared" si="8"/>
        <v>0</v>
      </c>
    </row>
    <row r="47" spans="2:17" ht="15" x14ac:dyDescent="0.2">
      <c r="B47" s="72">
        <f t="shared" si="4"/>
        <v>38</v>
      </c>
      <c r="C47" s="179">
        <v>5</v>
      </c>
      <c r="D47" s="257" t="s">
        <v>1</v>
      </c>
      <c r="E47" s="253"/>
      <c r="F47" s="253"/>
      <c r="G47" s="253"/>
      <c r="H47" s="254"/>
      <c r="I47" s="45">
        <f>I48</f>
        <v>28700</v>
      </c>
      <c r="J47" s="45">
        <f>J48</f>
        <v>23978</v>
      </c>
      <c r="K47" s="198">
        <f t="shared" si="5"/>
        <v>83.547038327526138</v>
      </c>
      <c r="L47" s="45">
        <f>L48</f>
        <v>0</v>
      </c>
      <c r="M47" s="45">
        <f>M48</f>
        <v>0</v>
      </c>
      <c r="N47" s="198"/>
      <c r="O47" s="45">
        <f t="shared" si="6"/>
        <v>28700</v>
      </c>
      <c r="P47" s="45">
        <f t="shared" si="7"/>
        <v>23978</v>
      </c>
      <c r="Q47" s="203">
        <f t="shared" si="8"/>
        <v>83.547038327526138</v>
      </c>
    </row>
    <row r="48" spans="2:17" ht="15" x14ac:dyDescent="0.25">
      <c r="B48" s="72">
        <f t="shared" si="4"/>
        <v>39</v>
      </c>
      <c r="C48" s="15"/>
      <c r="D48" s="15"/>
      <c r="E48" s="15">
        <v>2</v>
      </c>
      <c r="F48" s="50"/>
      <c r="G48" s="15"/>
      <c r="H48" s="15" t="s">
        <v>256</v>
      </c>
      <c r="I48" s="47">
        <f>I49+I50+I51+I57</f>
        <v>28700</v>
      </c>
      <c r="J48" s="47">
        <f>J49+J50+J51+J57</f>
        <v>23978</v>
      </c>
      <c r="K48" s="198">
        <f t="shared" si="5"/>
        <v>83.547038327526138</v>
      </c>
      <c r="L48" s="47">
        <f>L49+L50+L51+L57</f>
        <v>0</v>
      </c>
      <c r="M48" s="47">
        <f>M49+M50+M51+M57</f>
        <v>0</v>
      </c>
      <c r="N48" s="198"/>
      <c r="O48" s="47">
        <f t="shared" si="6"/>
        <v>28700</v>
      </c>
      <c r="P48" s="47">
        <f t="shared" si="7"/>
        <v>23978</v>
      </c>
      <c r="Q48" s="203">
        <f t="shared" si="8"/>
        <v>83.547038327526138</v>
      </c>
    </row>
    <row r="49" spans="2:17" x14ac:dyDescent="0.2">
      <c r="B49" s="72">
        <f t="shared" si="4"/>
        <v>40</v>
      </c>
      <c r="C49" s="12"/>
      <c r="D49" s="12"/>
      <c r="E49" s="12"/>
      <c r="F49" s="52" t="s">
        <v>204</v>
      </c>
      <c r="G49" s="12">
        <v>610</v>
      </c>
      <c r="H49" s="12" t="s">
        <v>135</v>
      </c>
      <c r="I49" s="49">
        <v>6600</v>
      </c>
      <c r="J49" s="49">
        <v>6595</v>
      </c>
      <c r="K49" s="198">
        <f t="shared" si="5"/>
        <v>99.924242424242422</v>
      </c>
      <c r="L49" s="49"/>
      <c r="M49" s="49"/>
      <c r="N49" s="198"/>
      <c r="O49" s="49">
        <f t="shared" si="6"/>
        <v>6600</v>
      </c>
      <c r="P49" s="49">
        <f t="shared" si="7"/>
        <v>6595</v>
      </c>
      <c r="Q49" s="203">
        <f t="shared" si="8"/>
        <v>99.924242424242422</v>
      </c>
    </row>
    <row r="50" spans="2:17" x14ac:dyDescent="0.2">
      <c r="B50" s="72">
        <f t="shared" si="4"/>
        <v>41</v>
      </c>
      <c r="C50" s="12"/>
      <c r="D50" s="12"/>
      <c r="E50" s="12"/>
      <c r="F50" s="52" t="s">
        <v>204</v>
      </c>
      <c r="G50" s="12">
        <v>620</v>
      </c>
      <c r="H50" s="12" t="s">
        <v>130</v>
      </c>
      <c r="I50" s="49">
        <v>2950</v>
      </c>
      <c r="J50" s="49">
        <v>2785</v>
      </c>
      <c r="K50" s="198">
        <f t="shared" si="5"/>
        <v>94.406779661016955</v>
      </c>
      <c r="L50" s="49"/>
      <c r="M50" s="49"/>
      <c r="N50" s="198"/>
      <c r="O50" s="49">
        <f t="shared" si="6"/>
        <v>2950</v>
      </c>
      <c r="P50" s="49">
        <f t="shared" si="7"/>
        <v>2785</v>
      </c>
      <c r="Q50" s="203">
        <f t="shared" si="8"/>
        <v>94.406779661016955</v>
      </c>
    </row>
    <row r="51" spans="2:17" x14ac:dyDescent="0.2">
      <c r="B51" s="72">
        <f t="shared" si="4"/>
        <v>42</v>
      </c>
      <c r="C51" s="12"/>
      <c r="D51" s="12"/>
      <c r="E51" s="12"/>
      <c r="F51" s="52" t="s">
        <v>204</v>
      </c>
      <c r="G51" s="12">
        <v>630</v>
      </c>
      <c r="H51" s="12" t="s">
        <v>127</v>
      </c>
      <c r="I51" s="49">
        <f>I56+I55+I54+I53+I52</f>
        <v>18700</v>
      </c>
      <c r="J51" s="49">
        <f>J56+J55+J54+J53+J52</f>
        <v>14148</v>
      </c>
      <c r="K51" s="198">
        <f t="shared" si="5"/>
        <v>75.657754010695186</v>
      </c>
      <c r="L51" s="49">
        <f>L56+L55+L54+L53+L52</f>
        <v>0</v>
      </c>
      <c r="M51" s="49">
        <f>M56+M55+M54+M53+M52</f>
        <v>0</v>
      </c>
      <c r="N51" s="198"/>
      <c r="O51" s="49">
        <f t="shared" si="6"/>
        <v>18700</v>
      </c>
      <c r="P51" s="49">
        <f t="shared" si="7"/>
        <v>14148</v>
      </c>
      <c r="Q51" s="203">
        <f t="shared" si="8"/>
        <v>75.657754010695186</v>
      </c>
    </row>
    <row r="52" spans="2:17" x14ac:dyDescent="0.2">
      <c r="B52" s="72">
        <f t="shared" si="4"/>
        <v>43</v>
      </c>
      <c r="C52" s="4"/>
      <c r="D52" s="4"/>
      <c r="E52" s="4"/>
      <c r="F52" s="53" t="s">
        <v>204</v>
      </c>
      <c r="G52" s="4">
        <v>632</v>
      </c>
      <c r="H52" s="4" t="s">
        <v>138</v>
      </c>
      <c r="I52" s="23">
        <v>6600</v>
      </c>
      <c r="J52" s="23">
        <v>3900</v>
      </c>
      <c r="K52" s="198">
        <f t="shared" si="5"/>
        <v>59.090909090909093</v>
      </c>
      <c r="L52" s="23"/>
      <c r="M52" s="23"/>
      <c r="N52" s="198"/>
      <c r="O52" s="23">
        <f t="shared" si="6"/>
        <v>6600</v>
      </c>
      <c r="P52" s="23">
        <f t="shared" si="7"/>
        <v>3900</v>
      </c>
      <c r="Q52" s="203">
        <f t="shared" si="8"/>
        <v>59.090909090909093</v>
      </c>
    </row>
    <row r="53" spans="2:17" x14ac:dyDescent="0.2">
      <c r="B53" s="72">
        <f t="shared" si="4"/>
        <v>44</v>
      </c>
      <c r="C53" s="4"/>
      <c r="D53" s="4"/>
      <c r="E53" s="4"/>
      <c r="F53" s="53" t="s">
        <v>204</v>
      </c>
      <c r="G53" s="4">
        <v>633</v>
      </c>
      <c r="H53" s="4" t="s">
        <v>131</v>
      </c>
      <c r="I53" s="23">
        <f>500-100</f>
        <v>400</v>
      </c>
      <c r="J53" s="23">
        <v>347</v>
      </c>
      <c r="K53" s="198">
        <f t="shared" si="5"/>
        <v>86.75</v>
      </c>
      <c r="L53" s="23"/>
      <c r="M53" s="23"/>
      <c r="N53" s="198"/>
      <c r="O53" s="23">
        <f t="shared" si="6"/>
        <v>400</v>
      </c>
      <c r="P53" s="23">
        <f t="shared" si="7"/>
        <v>347</v>
      </c>
      <c r="Q53" s="203">
        <f t="shared" si="8"/>
        <v>86.75</v>
      </c>
    </row>
    <row r="54" spans="2:17" x14ac:dyDescent="0.2">
      <c r="B54" s="72">
        <f t="shared" si="4"/>
        <v>45</v>
      </c>
      <c r="C54" s="4"/>
      <c r="D54" s="4"/>
      <c r="E54" s="4"/>
      <c r="F54" s="53" t="s">
        <v>204</v>
      </c>
      <c r="G54" s="4">
        <v>635</v>
      </c>
      <c r="H54" s="4" t="s">
        <v>137</v>
      </c>
      <c r="I54" s="23">
        <f>100+100</f>
        <v>200</v>
      </c>
      <c r="J54" s="23">
        <v>178</v>
      </c>
      <c r="K54" s="198">
        <f t="shared" si="5"/>
        <v>89</v>
      </c>
      <c r="L54" s="23"/>
      <c r="M54" s="23"/>
      <c r="N54" s="198"/>
      <c r="O54" s="23">
        <f t="shared" si="6"/>
        <v>200</v>
      </c>
      <c r="P54" s="23">
        <f t="shared" si="7"/>
        <v>178</v>
      </c>
      <c r="Q54" s="203">
        <f t="shared" si="8"/>
        <v>89</v>
      </c>
    </row>
    <row r="55" spans="2:17" x14ac:dyDescent="0.2">
      <c r="B55" s="72">
        <f t="shared" ref="B55:B73" si="9">B54+1</f>
        <v>46</v>
      </c>
      <c r="C55" s="4"/>
      <c r="D55" s="4"/>
      <c r="E55" s="4"/>
      <c r="F55" s="53" t="s">
        <v>204</v>
      </c>
      <c r="G55" s="4">
        <v>636</v>
      </c>
      <c r="H55" s="4" t="s">
        <v>132</v>
      </c>
      <c r="I55" s="23">
        <v>1200</v>
      </c>
      <c r="J55" s="23">
        <f>1642-450</f>
        <v>1192</v>
      </c>
      <c r="K55" s="198">
        <f t="shared" si="5"/>
        <v>99.333333333333329</v>
      </c>
      <c r="L55" s="23"/>
      <c r="M55" s="23"/>
      <c r="N55" s="198"/>
      <c r="O55" s="23">
        <f t="shared" si="6"/>
        <v>1200</v>
      </c>
      <c r="P55" s="23">
        <f t="shared" si="7"/>
        <v>1192</v>
      </c>
      <c r="Q55" s="203">
        <f t="shared" si="8"/>
        <v>99.333333333333329</v>
      </c>
    </row>
    <row r="56" spans="2:17" x14ac:dyDescent="0.2">
      <c r="B56" s="72">
        <f t="shared" si="9"/>
        <v>47</v>
      </c>
      <c r="C56" s="4"/>
      <c r="D56" s="4"/>
      <c r="E56" s="4"/>
      <c r="F56" s="53" t="s">
        <v>204</v>
      </c>
      <c r="G56" s="4">
        <v>637</v>
      </c>
      <c r="H56" s="4" t="s">
        <v>128</v>
      </c>
      <c r="I56" s="23">
        <v>10300</v>
      </c>
      <c r="J56" s="23">
        <v>8531</v>
      </c>
      <c r="K56" s="198">
        <f t="shared" si="5"/>
        <v>82.825242718446603</v>
      </c>
      <c r="L56" s="23"/>
      <c r="M56" s="23"/>
      <c r="N56" s="198"/>
      <c r="O56" s="23">
        <f t="shared" si="6"/>
        <v>10300</v>
      </c>
      <c r="P56" s="23">
        <f t="shared" si="7"/>
        <v>8531</v>
      </c>
      <c r="Q56" s="203">
        <f t="shared" si="8"/>
        <v>82.825242718446603</v>
      </c>
    </row>
    <row r="57" spans="2:17" x14ac:dyDescent="0.2">
      <c r="B57" s="72">
        <f t="shared" si="9"/>
        <v>48</v>
      </c>
      <c r="C57" s="12"/>
      <c r="D57" s="12"/>
      <c r="E57" s="12"/>
      <c r="F57" s="52" t="s">
        <v>158</v>
      </c>
      <c r="G57" s="12">
        <v>630</v>
      </c>
      <c r="H57" s="12" t="s">
        <v>127</v>
      </c>
      <c r="I57" s="49">
        <f>I58</f>
        <v>450</v>
      </c>
      <c r="J57" s="49">
        <f>J58</f>
        <v>450</v>
      </c>
      <c r="K57" s="198">
        <f t="shared" si="5"/>
        <v>100</v>
      </c>
      <c r="L57" s="49">
        <f>L58</f>
        <v>0</v>
      </c>
      <c r="M57" s="49">
        <f>M58</f>
        <v>0</v>
      </c>
      <c r="N57" s="198"/>
      <c r="O57" s="49">
        <f t="shared" si="6"/>
        <v>450</v>
      </c>
      <c r="P57" s="49">
        <f t="shared" si="7"/>
        <v>450</v>
      </c>
      <c r="Q57" s="203">
        <f t="shared" si="8"/>
        <v>100</v>
      </c>
    </row>
    <row r="58" spans="2:17" x14ac:dyDescent="0.2">
      <c r="B58" s="72">
        <f t="shared" si="9"/>
        <v>49</v>
      </c>
      <c r="C58" s="4"/>
      <c r="D58" s="4"/>
      <c r="E58" s="4"/>
      <c r="F58" s="53" t="s">
        <v>158</v>
      </c>
      <c r="G58" s="4">
        <v>636</v>
      </c>
      <c r="H58" s="4" t="s">
        <v>132</v>
      </c>
      <c r="I58" s="23">
        <v>450</v>
      </c>
      <c r="J58" s="23">
        <v>450</v>
      </c>
      <c r="K58" s="198">
        <f t="shared" si="5"/>
        <v>100</v>
      </c>
      <c r="L58" s="23"/>
      <c r="M58" s="23"/>
      <c r="N58" s="198"/>
      <c r="O58" s="23">
        <f t="shared" si="6"/>
        <v>450</v>
      </c>
      <c r="P58" s="23">
        <f t="shared" si="7"/>
        <v>450</v>
      </c>
      <c r="Q58" s="203">
        <f t="shared" si="8"/>
        <v>100</v>
      </c>
    </row>
    <row r="59" spans="2:17" ht="15" x14ac:dyDescent="0.2">
      <c r="B59" s="72">
        <f t="shared" si="9"/>
        <v>50</v>
      </c>
      <c r="C59" s="179">
        <v>6</v>
      </c>
      <c r="D59" s="257" t="s">
        <v>150</v>
      </c>
      <c r="E59" s="253"/>
      <c r="F59" s="253"/>
      <c r="G59" s="253"/>
      <c r="H59" s="254"/>
      <c r="I59" s="45">
        <f>I60+I66</f>
        <v>136065</v>
      </c>
      <c r="J59" s="45">
        <f>J60+J66</f>
        <v>109345</v>
      </c>
      <c r="K59" s="198">
        <f t="shared" si="5"/>
        <v>80.362326829089042</v>
      </c>
      <c r="L59" s="45">
        <f>L60+L66</f>
        <v>61513</v>
      </c>
      <c r="M59" s="45">
        <f>M60+M66</f>
        <v>39377</v>
      </c>
      <c r="N59" s="198">
        <f>M59/L59*100</f>
        <v>64.014110838359372</v>
      </c>
      <c r="O59" s="45">
        <f t="shared" si="6"/>
        <v>197578</v>
      </c>
      <c r="P59" s="45">
        <f t="shared" si="7"/>
        <v>148722</v>
      </c>
      <c r="Q59" s="203">
        <f t="shared" si="8"/>
        <v>75.272550587616024</v>
      </c>
    </row>
    <row r="60" spans="2:17" x14ac:dyDescent="0.2">
      <c r="B60" s="72">
        <f t="shared" si="9"/>
        <v>51</v>
      </c>
      <c r="C60" s="12"/>
      <c r="D60" s="12"/>
      <c r="E60" s="12"/>
      <c r="F60" s="52" t="s">
        <v>149</v>
      </c>
      <c r="G60" s="12">
        <v>630</v>
      </c>
      <c r="H60" s="12" t="s">
        <v>127</v>
      </c>
      <c r="I60" s="49">
        <f>I63+I61+I64+I62+I65</f>
        <v>136065</v>
      </c>
      <c r="J60" s="49">
        <f>J63+J61+J64+J62+J65</f>
        <v>109345</v>
      </c>
      <c r="K60" s="198">
        <f t="shared" si="5"/>
        <v>80.362326829089042</v>
      </c>
      <c r="L60" s="49">
        <f>L63+L61</f>
        <v>0</v>
      </c>
      <c r="M60" s="49">
        <f>M63+M61</f>
        <v>0</v>
      </c>
      <c r="N60" s="198"/>
      <c r="O60" s="49">
        <f t="shared" si="6"/>
        <v>136065</v>
      </c>
      <c r="P60" s="49">
        <f t="shared" si="7"/>
        <v>109345</v>
      </c>
      <c r="Q60" s="203">
        <f t="shared" si="8"/>
        <v>80.362326829089042</v>
      </c>
    </row>
    <row r="61" spans="2:17" x14ac:dyDescent="0.2">
      <c r="B61" s="72">
        <f t="shared" si="9"/>
        <v>52</v>
      </c>
      <c r="C61" s="4"/>
      <c r="D61" s="4"/>
      <c r="E61" s="4"/>
      <c r="F61" s="53" t="s">
        <v>149</v>
      </c>
      <c r="G61" s="4">
        <v>632</v>
      </c>
      <c r="H61" s="4" t="s">
        <v>138</v>
      </c>
      <c r="I61" s="23">
        <v>27000</v>
      </c>
      <c r="J61" s="23">
        <v>18113</v>
      </c>
      <c r="K61" s="198">
        <f t="shared" si="5"/>
        <v>67.085185185185182</v>
      </c>
      <c r="L61" s="23"/>
      <c r="M61" s="23"/>
      <c r="N61" s="198"/>
      <c r="O61" s="23">
        <f t="shared" si="6"/>
        <v>27000</v>
      </c>
      <c r="P61" s="23">
        <f t="shared" si="7"/>
        <v>18113</v>
      </c>
      <c r="Q61" s="203">
        <f t="shared" si="8"/>
        <v>67.085185185185182</v>
      </c>
    </row>
    <row r="62" spans="2:17" x14ac:dyDescent="0.2">
      <c r="B62" s="72">
        <f t="shared" si="9"/>
        <v>53</v>
      </c>
      <c r="C62" s="4"/>
      <c r="D62" s="4"/>
      <c r="E62" s="4"/>
      <c r="F62" s="53" t="s">
        <v>149</v>
      </c>
      <c r="G62" s="4">
        <v>633</v>
      </c>
      <c r="H62" s="4" t="s">
        <v>131</v>
      </c>
      <c r="I62" s="23">
        <v>300</v>
      </c>
      <c r="J62" s="23">
        <f>853-J65</f>
        <v>300</v>
      </c>
      <c r="K62" s="198">
        <f t="shared" si="5"/>
        <v>100</v>
      </c>
      <c r="L62" s="23"/>
      <c r="M62" s="23"/>
      <c r="N62" s="198"/>
      <c r="O62" s="23">
        <f t="shared" si="6"/>
        <v>300</v>
      </c>
      <c r="P62" s="23">
        <f t="shared" si="7"/>
        <v>300</v>
      </c>
      <c r="Q62" s="203">
        <f t="shared" si="8"/>
        <v>100</v>
      </c>
    </row>
    <row r="63" spans="2:17" x14ac:dyDescent="0.2">
      <c r="B63" s="72">
        <f t="shared" si="9"/>
        <v>54</v>
      </c>
      <c r="C63" s="4"/>
      <c r="D63" s="4"/>
      <c r="E63" s="4"/>
      <c r="F63" s="53" t="s">
        <v>149</v>
      </c>
      <c r="G63" s="4">
        <v>637</v>
      </c>
      <c r="H63" s="4" t="s">
        <v>128</v>
      </c>
      <c r="I63" s="23">
        <f>117630-300-13700-4000</f>
        <v>99630</v>
      </c>
      <c r="J63" s="23">
        <f>90379-J64</f>
        <v>83244</v>
      </c>
      <c r="K63" s="198">
        <f t="shared" si="5"/>
        <v>83.553146642577531</v>
      </c>
      <c r="L63" s="23"/>
      <c r="M63" s="23"/>
      <c r="N63" s="198"/>
      <c r="O63" s="23">
        <f t="shared" si="6"/>
        <v>99630</v>
      </c>
      <c r="P63" s="23">
        <f t="shared" si="7"/>
        <v>83244</v>
      </c>
      <c r="Q63" s="203">
        <f t="shared" si="8"/>
        <v>83.553146642577531</v>
      </c>
    </row>
    <row r="64" spans="2:17" x14ac:dyDescent="0.2">
      <c r="B64" s="72">
        <f t="shared" si="9"/>
        <v>55</v>
      </c>
      <c r="C64" s="4"/>
      <c r="D64" s="4"/>
      <c r="E64" s="4"/>
      <c r="F64" s="53" t="s">
        <v>149</v>
      </c>
      <c r="G64" s="4">
        <v>637</v>
      </c>
      <c r="H64" s="4" t="s">
        <v>506</v>
      </c>
      <c r="I64" s="23">
        <v>7135</v>
      </c>
      <c r="J64" s="23">
        <v>7135</v>
      </c>
      <c r="K64" s="198">
        <f t="shared" si="5"/>
        <v>100</v>
      </c>
      <c r="L64" s="23"/>
      <c r="M64" s="23"/>
      <c r="N64" s="198"/>
      <c r="O64" s="23">
        <f t="shared" si="6"/>
        <v>7135</v>
      </c>
      <c r="P64" s="23">
        <f t="shared" si="7"/>
        <v>7135</v>
      </c>
      <c r="Q64" s="203">
        <f t="shared" si="8"/>
        <v>100</v>
      </c>
    </row>
    <row r="65" spans="2:17" ht="13.5" customHeight="1" x14ac:dyDescent="0.2">
      <c r="B65" s="72">
        <f t="shared" si="9"/>
        <v>56</v>
      </c>
      <c r="C65" s="4"/>
      <c r="D65" s="4"/>
      <c r="E65" s="4"/>
      <c r="F65" s="53"/>
      <c r="G65" s="4">
        <v>633</v>
      </c>
      <c r="H65" s="126" t="s">
        <v>680</v>
      </c>
      <c r="I65" s="127">
        <v>2000</v>
      </c>
      <c r="J65" s="127">
        <v>553</v>
      </c>
      <c r="K65" s="198">
        <f t="shared" si="5"/>
        <v>27.650000000000002</v>
      </c>
      <c r="L65" s="127"/>
      <c r="M65" s="127"/>
      <c r="N65" s="198"/>
      <c r="O65" s="127">
        <f t="shared" si="6"/>
        <v>2000</v>
      </c>
      <c r="P65" s="127">
        <f t="shared" si="7"/>
        <v>553</v>
      </c>
      <c r="Q65" s="203">
        <f t="shared" si="8"/>
        <v>27.650000000000002</v>
      </c>
    </row>
    <row r="66" spans="2:17" x14ac:dyDescent="0.2">
      <c r="B66" s="72">
        <f t="shared" si="9"/>
        <v>57</v>
      </c>
      <c r="C66" s="12"/>
      <c r="D66" s="12"/>
      <c r="E66" s="12"/>
      <c r="F66" s="52" t="s">
        <v>149</v>
      </c>
      <c r="G66" s="12">
        <v>710</v>
      </c>
      <c r="H66" s="12" t="s">
        <v>183</v>
      </c>
      <c r="I66" s="49">
        <f>I69+I67</f>
        <v>0</v>
      </c>
      <c r="J66" s="49">
        <f>J69+J67</f>
        <v>0</v>
      </c>
      <c r="K66" s="198"/>
      <c r="L66" s="49">
        <f>L69+L67</f>
        <v>61513</v>
      </c>
      <c r="M66" s="49">
        <f>M69+M67</f>
        <v>39377</v>
      </c>
      <c r="N66" s="198">
        <f t="shared" ref="N66:N73" si="10">M66/L66*100</f>
        <v>64.014110838359372</v>
      </c>
      <c r="O66" s="49">
        <f t="shared" si="6"/>
        <v>61513</v>
      </c>
      <c r="P66" s="49">
        <f t="shared" si="7"/>
        <v>39377</v>
      </c>
      <c r="Q66" s="203">
        <f t="shared" si="8"/>
        <v>64.014110838359372</v>
      </c>
    </row>
    <row r="67" spans="2:17" x14ac:dyDescent="0.2">
      <c r="B67" s="72">
        <f t="shared" si="9"/>
        <v>58</v>
      </c>
      <c r="C67" s="4"/>
      <c r="D67" s="4"/>
      <c r="E67" s="4"/>
      <c r="F67" s="82" t="s">
        <v>149</v>
      </c>
      <c r="G67" s="83">
        <v>716</v>
      </c>
      <c r="H67" s="83" t="s">
        <v>0</v>
      </c>
      <c r="I67" s="84"/>
      <c r="J67" s="84"/>
      <c r="K67" s="198"/>
      <c r="L67" s="84">
        <f>SUM(L68:L68)</f>
        <v>10250</v>
      </c>
      <c r="M67" s="84">
        <f>SUM(M68:M68)</f>
        <v>0</v>
      </c>
      <c r="N67" s="198">
        <f t="shared" si="10"/>
        <v>0</v>
      </c>
      <c r="O67" s="84">
        <f t="shared" si="6"/>
        <v>10250</v>
      </c>
      <c r="P67" s="84">
        <f t="shared" si="7"/>
        <v>0</v>
      </c>
      <c r="Q67" s="203">
        <f t="shared" si="8"/>
        <v>0</v>
      </c>
    </row>
    <row r="68" spans="2:17" x14ac:dyDescent="0.2">
      <c r="B68" s="72">
        <f t="shared" si="9"/>
        <v>59</v>
      </c>
      <c r="C68" s="75"/>
      <c r="D68" s="75"/>
      <c r="E68" s="75"/>
      <c r="F68" s="76"/>
      <c r="G68" s="75"/>
      <c r="H68" s="77" t="s">
        <v>484</v>
      </c>
      <c r="I68" s="62"/>
      <c r="J68" s="62"/>
      <c r="K68" s="198"/>
      <c r="L68" s="62">
        <f>1750+8250+250</f>
        <v>10250</v>
      </c>
      <c r="M68" s="62"/>
      <c r="N68" s="198">
        <f t="shared" si="10"/>
        <v>0</v>
      </c>
      <c r="O68" s="62">
        <f t="shared" si="6"/>
        <v>10250</v>
      </c>
      <c r="P68" s="62">
        <f t="shared" si="7"/>
        <v>0</v>
      </c>
      <c r="Q68" s="203">
        <f t="shared" si="8"/>
        <v>0</v>
      </c>
    </row>
    <row r="69" spans="2:17" x14ac:dyDescent="0.2">
      <c r="B69" s="72">
        <f t="shared" si="9"/>
        <v>60</v>
      </c>
      <c r="C69" s="75"/>
      <c r="D69" s="75"/>
      <c r="E69" s="75"/>
      <c r="F69" s="103" t="s">
        <v>149</v>
      </c>
      <c r="G69" s="104">
        <v>717</v>
      </c>
      <c r="H69" s="104" t="s">
        <v>193</v>
      </c>
      <c r="I69" s="105"/>
      <c r="J69" s="105"/>
      <c r="K69" s="198"/>
      <c r="L69" s="105">
        <f>SUM(L70:L73)</f>
        <v>51263</v>
      </c>
      <c r="M69" s="105">
        <f>SUM(M70:M73)</f>
        <v>39377</v>
      </c>
      <c r="N69" s="198">
        <f t="shared" si="10"/>
        <v>76.813686284454676</v>
      </c>
      <c r="O69" s="105">
        <f t="shared" si="6"/>
        <v>51263</v>
      </c>
      <c r="P69" s="105">
        <f t="shared" si="7"/>
        <v>39377</v>
      </c>
      <c r="Q69" s="203">
        <f t="shared" si="8"/>
        <v>76.813686284454676</v>
      </c>
    </row>
    <row r="70" spans="2:17" x14ac:dyDescent="0.2">
      <c r="B70" s="72">
        <f t="shared" si="9"/>
        <v>61</v>
      </c>
      <c r="C70" s="75"/>
      <c r="D70" s="106"/>
      <c r="E70" s="75"/>
      <c r="F70" s="76"/>
      <c r="G70" s="75"/>
      <c r="H70" s="107" t="s">
        <v>436</v>
      </c>
      <c r="I70" s="62"/>
      <c r="J70" s="62"/>
      <c r="K70" s="198"/>
      <c r="L70" s="62">
        <v>19000</v>
      </c>
      <c r="M70" s="62">
        <f>850+13900</f>
        <v>14750</v>
      </c>
      <c r="N70" s="198">
        <f t="shared" si="10"/>
        <v>77.631578947368425</v>
      </c>
      <c r="O70" s="62">
        <f t="shared" si="6"/>
        <v>19000</v>
      </c>
      <c r="P70" s="62">
        <f t="shared" si="7"/>
        <v>14750</v>
      </c>
      <c r="Q70" s="203">
        <f t="shared" si="8"/>
        <v>77.631578947368425</v>
      </c>
    </row>
    <row r="71" spans="2:17" x14ac:dyDescent="0.2">
      <c r="B71" s="72">
        <f t="shared" si="9"/>
        <v>62</v>
      </c>
      <c r="C71" s="75"/>
      <c r="D71" s="106"/>
      <c r="E71" s="75"/>
      <c r="F71" s="76"/>
      <c r="G71" s="75"/>
      <c r="H71" s="107" t="s">
        <v>437</v>
      </c>
      <c r="I71" s="62"/>
      <c r="J71" s="62"/>
      <c r="K71" s="198"/>
      <c r="L71" s="62">
        <f>3712+7000</f>
        <v>10712</v>
      </c>
      <c r="M71" s="62">
        <f>3077</f>
        <v>3077</v>
      </c>
      <c r="N71" s="198">
        <f t="shared" si="10"/>
        <v>28.724794622852873</v>
      </c>
      <c r="O71" s="62">
        <f t="shared" si="6"/>
        <v>10712</v>
      </c>
      <c r="P71" s="62">
        <f t="shared" si="7"/>
        <v>3077</v>
      </c>
      <c r="Q71" s="203">
        <f t="shared" si="8"/>
        <v>28.724794622852873</v>
      </c>
    </row>
    <row r="72" spans="2:17" ht="12" customHeight="1" x14ac:dyDescent="0.2">
      <c r="B72" s="72">
        <f t="shared" si="9"/>
        <v>63</v>
      </c>
      <c r="C72" s="75"/>
      <c r="D72" s="106"/>
      <c r="E72" s="75"/>
      <c r="F72" s="76"/>
      <c r="G72" s="75"/>
      <c r="H72" s="126" t="s">
        <v>548</v>
      </c>
      <c r="I72" s="127"/>
      <c r="J72" s="127"/>
      <c r="K72" s="198"/>
      <c r="L72" s="127">
        <f>4000+8000</f>
        <v>12000</v>
      </c>
      <c r="M72" s="127">
        <v>12000</v>
      </c>
      <c r="N72" s="198">
        <f t="shared" si="10"/>
        <v>100</v>
      </c>
      <c r="O72" s="127">
        <f t="shared" si="6"/>
        <v>12000</v>
      </c>
      <c r="P72" s="127">
        <f t="shared" si="7"/>
        <v>12000</v>
      </c>
      <c r="Q72" s="203">
        <f t="shared" si="8"/>
        <v>100</v>
      </c>
    </row>
    <row r="73" spans="2:17" x14ac:dyDescent="0.2">
      <c r="B73" s="72">
        <f t="shared" si="9"/>
        <v>64</v>
      </c>
      <c r="C73" s="75"/>
      <c r="D73" s="106"/>
      <c r="E73" s="75"/>
      <c r="F73" s="76"/>
      <c r="G73" s="75"/>
      <c r="H73" s="107" t="s">
        <v>485</v>
      </c>
      <c r="I73" s="62"/>
      <c r="J73" s="62"/>
      <c r="K73" s="198"/>
      <c r="L73" s="62">
        <f>7500+2250-750+551</f>
        <v>9551</v>
      </c>
      <c r="M73" s="62">
        <v>9550</v>
      </c>
      <c r="N73" s="198">
        <f t="shared" si="10"/>
        <v>99.98952989215789</v>
      </c>
      <c r="O73" s="62">
        <f t="shared" si="6"/>
        <v>9551</v>
      </c>
      <c r="P73" s="62">
        <f t="shared" si="7"/>
        <v>9550</v>
      </c>
      <c r="Q73" s="203">
        <f t="shared" si="8"/>
        <v>99.98952989215789</v>
      </c>
    </row>
    <row r="74" spans="2:17" ht="15" x14ac:dyDescent="0.2">
      <c r="B74" s="72">
        <f t="shared" ref="B74:B83" si="11">B73+1</f>
        <v>65</v>
      </c>
      <c r="C74" s="179">
        <v>7</v>
      </c>
      <c r="D74" s="257" t="s">
        <v>278</v>
      </c>
      <c r="E74" s="253"/>
      <c r="F74" s="253"/>
      <c r="G74" s="253"/>
      <c r="H74" s="254"/>
      <c r="I74" s="45">
        <f>I75</f>
        <v>2870</v>
      </c>
      <c r="J74" s="45">
        <f>J75</f>
        <v>1851</v>
      </c>
      <c r="K74" s="198">
        <f t="shared" ref="K74:K82" si="12">J74/I74*100</f>
        <v>64.494773519163758</v>
      </c>
      <c r="L74" s="45">
        <f>L75</f>
        <v>0</v>
      </c>
      <c r="M74" s="45">
        <f>M75</f>
        <v>0</v>
      </c>
      <c r="N74" s="198"/>
      <c r="O74" s="45">
        <f t="shared" ref="O74:O83" si="13">I74+L74</f>
        <v>2870</v>
      </c>
      <c r="P74" s="45">
        <f t="shared" ref="P74:P83" si="14">J74+M74</f>
        <v>1851</v>
      </c>
      <c r="Q74" s="203">
        <f t="shared" ref="Q74:Q82" si="15">P74/O74*100</f>
        <v>64.494773519163758</v>
      </c>
    </row>
    <row r="75" spans="2:17" ht="15" x14ac:dyDescent="0.25">
      <c r="B75" s="72">
        <f t="shared" si="11"/>
        <v>66</v>
      </c>
      <c r="C75" s="15"/>
      <c r="D75" s="15"/>
      <c r="E75" s="15">
        <v>2</v>
      </c>
      <c r="F75" s="50"/>
      <c r="G75" s="15"/>
      <c r="H75" s="15" t="s">
        <v>256</v>
      </c>
      <c r="I75" s="47">
        <f>I76+I77+I78</f>
        <v>2870</v>
      </c>
      <c r="J75" s="47">
        <f>J76+J77+J78</f>
        <v>1851</v>
      </c>
      <c r="K75" s="198">
        <f t="shared" si="12"/>
        <v>64.494773519163758</v>
      </c>
      <c r="L75" s="47">
        <f>L76+L77+L78</f>
        <v>0</v>
      </c>
      <c r="M75" s="47">
        <f>M76+M77+M78</f>
        <v>0</v>
      </c>
      <c r="N75" s="198"/>
      <c r="O75" s="47">
        <f t="shared" si="13"/>
        <v>2870</v>
      </c>
      <c r="P75" s="47">
        <f t="shared" si="14"/>
        <v>1851</v>
      </c>
      <c r="Q75" s="203">
        <f t="shared" si="15"/>
        <v>64.494773519163758</v>
      </c>
    </row>
    <row r="76" spans="2:17" x14ac:dyDescent="0.2">
      <c r="B76" s="72">
        <f t="shared" si="11"/>
        <v>67</v>
      </c>
      <c r="C76" s="12"/>
      <c r="D76" s="12"/>
      <c r="E76" s="12"/>
      <c r="F76" s="52" t="s">
        <v>2</v>
      </c>
      <c r="G76" s="12">
        <v>610</v>
      </c>
      <c r="H76" s="12" t="s">
        <v>135</v>
      </c>
      <c r="I76" s="49">
        <v>700</v>
      </c>
      <c r="J76" s="49">
        <v>700</v>
      </c>
      <c r="K76" s="198">
        <f t="shared" si="12"/>
        <v>100</v>
      </c>
      <c r="L76" s="49"/>
      <c r="M76" s="49"/>
      <c r="N76" s="198"/>
      <c r="O76" s="49">
        <f t="shared" si="13"/>
        <v>700</v>
      </c>
      <c r="P76" s="49">
        <f t="shared" si="14"/>
        <v>700</v>
      </c>
      <c r="Q76" s="203">
        <f t="shared" si="15"/>
        <v>100</v>
      </c>
    </row>
    <row r="77" spans="2:17" x14ac:dyDescent="0.2">
      <c r="B77" s="72">
        <f t="shared" si="11"/>
        <v>68</v>
      </c>
      <c r="C77" s="12"/>
      <c r="D77" s="12"/>
      <c r="E77" s="12"/>
      <c r="F77" s="52" t="s">
        <v>2</v>
      </c>
      <c r="G77" s="12">
        <v>620</v>
      </c>
      <c r="H77" s="12" t="s">
        <v>130</v>
      </c>
      <c r="I77" s="49">
        <v>240</v>
      </c>
      <c r="J77" s="49">
        <v>238</v>
      </c>
      <c r="K77" s="198">
        <f t="shared" si="12"/>
        <v>99.166666666666671</v>
      </c>
      <c r="L77" s="49"/>
      <c r="M77" s="49"/>
      <c r="N77" s="198"/>
      <c r="O77" s="49">
        <f t="shared" si="13"/>
        <v>240</v>
      </c>
      <c r="P77" s="49">
        <f t="shared" si="14"/>
        <v>238</v>
      </c>
      <c r="Q77" s="203">
        <f t="shared" si="15"/>
        <v>99.166666666666671</v>
      </c>
    </row>
    <row r="78" spans="2:17" x14ac:dyDescent="0.2">
      <c r="B78" s="72">
        <f t="shared" si="11"/>
        <v>69</v>
      </c>
      <c r="C78" s="12"/>
      <c r="D78" s="12"/>
      <c r="E78" s="12"/>
      <c r="F78" s="52" t="s">
        <v>2</v>
      </c>
      <c r="G78" s="12">
        <v>630</v>
      </c>
      <c r="H78" s="12" t="s">
        <v>127</v>
      </c>
      <c r="I78" s="49">
        <f>I82+I81+I80+I79</f>
        <v>1930</v>
      </c>
      <c r="J78" s="49">
        <f>J82+J81+J80+J79</f>
        <v>913</v>
      </c>
      <c r="K78" s="198">
        <f t="shared" si="12"/>
        <v>47.30569948186529</v>
      </c>
      <c r="L78" s="49">
        <f>L82+L81+L80+L79</f>
        <v>0</v>
      </c>
      <c r="M78" s="49">
        <f>M82+M81+M80+M79</f>
        <v>0</v>
      </c>
      <c r="N78" s="198"/>
      <c r="O78" s="49">
        <f t="shared" si="13"/>
        <v>1930</v>
      </c>
      <c r="P78" s="49">
        <f t="shared" si="14"/>
        <v>913</v>
      </c>
      <c r="Q78" s="203">
        <f t="shared" si="15"/>
        <v>47.30569948186529</v>
      </c>
    </row>
    <row r="79" spans="2:17" x14ac:dyDescent="0.2">
      <c r="B79" s="72">
        <f t="shared" si="11"/>
        <v>70</v>
      </c>
      <c r="C79" s="4"/>
      <c r="D79" s="4"/>
      <c r="E79" s="4"/>
      <c r="F79" s="53" t="s">
        <v>2</v>
      </c>
      <c r="G79" s="4">
        <v>633</v>
      </c>
      <c r="H79" s="4" t="s">
        <v>131</v>
      </c>
      <c r="I79" s="23">
        <v>800</v>
      </c>
      <c r="J79" s="23">
        <v>699</v>
      </c>
      <c r="K79" s="198">
        <f t="shared" si="12"/>
        <v>87.375</v>
      </c>
      <c r="L79" s="23"/>
      <c r="M79" s="23"/>
      <c r="N79" s="198"/>
      <c r="O79" s="23">
        <f t="shared" si="13"/>
        <v>800</v>
      </c>
      <c r="P79" s="23">
        <f t="shared" si="14"/>
        <v>699</v>
      </c>
      <c r="Q79" s="203">
        <f t="shared" si="15"/>
        <v>87.375</v>
      </c>
    </row>
    <row r="80" spans="2:17" x14ac:dyDescent="0.2">
      <c r="B80" s="72">
        <f t="shared" si="11"/>
        <v>71</v>
      </c>
      <c r="C80" s="4"/>
      <c r="D80" s="4"/>
      <c r="E80" s="4"/>
      <c r="F80" s="53" t="s">
        <v>2</v>
      </c>
      <c r="G80" s="4">
        <v>634</v>
      </c>
      <c r="H80" s="4" t="s">
        <v>136</v>
      </c>
      <c r="I80" s="23">
        <v>450</v>
      </c>
      <c r="J80" s="23">
        <v>173</v>
      </c>
      <c r="K80" s="198">
        <f t="shared" si="12"/>
        <v>38.444444444444443</v>
      </c>
      <c r="L80" s="23"/>
      <c r="M80" s="23"/>
      <c r="N80" s="198"/>
      <c r="O80" s="23">
        <f t="shared" si="13"/>
        <v>450</v>
      </c>
      <c r="P80" s="23">
        <f t="shared" si="14"/>
        <v>173</v>
      </c>
      <c r="Q80" s="203">
        <f t="shared" si="15"/>
        <v>38.444444444444443</v>
      </c>
    </row>
    <row r="81" spans="2:17" x14ac:dyDescent="0.2">
      <c r="B81" s="72">
        <f t="shared" si="11"/>
        <v>72</v>
      </c>
      <c r="C81" s="4"/>
      <c r="D81" s="4"/>
      <c r="E81" s="4"/>
      <c r="F81" s="53" t="s">
        <v>2</v>
      </c>
      <c r="G81" s="4">
        <v>635</v>
      </c>
      <c r="H81" s="4" t="s">
        <v>137</v>
      </c>
      <c r="I81" s="23">
        <v>350</v>
      </c>
      <c r="J81" s="23">
        <v>0</v>
      </c>
      <c r="K81" s="198">
        <f t="shared" si="12"/>
        <v>0</v>
      </c>
      <c r="L81" s="23"/>
      <c r="M81" s="23"/>
      <c r="N81" s="198"/>
      <c r="O81" s="23">
        <f t="shared" si="13"/>
        <v>350</v>
      </c>
      <c r="P81" s="23">
        <f t="shared" si="14"/>
        <v>0</v>
      </c>
      <c r="Q81" s="203">
        <f t="shared" si="15"/>
        <v>0</v>
      </c>
    </row>
    <row r="82" spans="2:17" x14ac:dyDescent="0.2">
      <c r="B82" s="72">
        <f t="shared" si="11"/>
        <v>73</v>
      </c>
      <c r="C82" s="4"/>
      <c r="D82" s="4"/>
      <c r="E82" s="4"/>
      <c r="F82" s="53" t="s">
        <v>2</v>
      </c>
      <c r="G82" s="4">
        <v>637</v>
      </c>
      <c r="H82" s="4" t="s">
        <v>128</v>
      </c>
      <c r="I82" s="23">
        <v>330</v>
      </c>
      <c r="J82" s="23">
        <v>41</v>
      </c>
      <c r="K82" s="198">
        <f t="shared" si="12"/>
        <v>12.424242424242424</v>
      </c>
      <c r="L82" s="23"/>
      <c r="M82" s="23"/>
      <c r="N82" s="198"/>
      <c r="O82" s="23">
        <f t="shared" si="13"/>
        <v>330</v>
      </c>
      <c r="P82" s="23">
        <f t="shared" si="14"/>
        <v>41</v>
      </c>
      <c r="Q82" s="203">
        <f t="shared" si="15"/>
        <v>12.424242424242424</v>
      </c>
    </row>
    <row r="83" spans="2:17" ht="15" x14ac:dyDescent="0.2">
      <c r="B83" s="72">
        <f t="shared" si="11"/>
        <v>74</v>
      </c>
      <c r="C83" s="179">
        <v>8</v>
      </c>
      <c r="D83" s="257" t="s">
        <v>348</v>
      </c>
      <c r="E83" s="253"/>
      <c r="F83" s="253"/>
      <c r="G83" s="253"/>
      <c r="H83" s="254"/>
      <c r="I83" s="45">
        <v>0</v>
      </c>
      <c r="J83" s="45">
        <v>0</v>
      </c>
      <c r="K83" s="198"/>
      <c r="L83" s="45">
        <v>0</v>
      </c>
      <c r="M83" s="45"/>
      <c r="N83" s="198"/>
      <c r="O83" s="45">
        <f t="shared" si="13"/>
        <v>0</v>
      </c>
      <c r="P83" s="45">
        <f t="shared" si="14"/>
        <v>0</v>
      </c>
      <c r="Q83" s="203"/>
    </row>
  </sheetData>
  <mergeCells count="27">
    <mergeCell ref="B4:O4"/>
    <mergeCell ref="B5:L5"/>
    <mergeCell ref="O5:O9"/>
    <mergeCell ref="B6:B9"/>
    <mergeCell ref="C6:C9"/>
    <mergeCell ref="D6:D9"/>
    <mergeCell ref="E6:E9"/>
    <mergeCell ref="F6:F9"/>
    <mergeCell ref="G6:G9"/>
    <mergeCell ref="H6:H9"/>
    <mergeCell ref="D83:H83"/>
    <mergeCell ref="C10:H10"/>
    <mergeCell ref="D11:H11"/>
    <mergeCell ref="D16:H16"/>
    <mergeCell ref="D27:H27"/>
    <mergeCell ref="D37:H37"/>
    <mergeCell ref="P5:P9"/>
    <mergeCell ref="Q5:Q9"/>
    <mergeCell ref="D47:H47"/>
    <mergeCell ref="D59:H59"/>
    <mergeCell ref="D74:H74"/>
    <mergeCell ref="I6:I9"/>
    <mergeCell ref="L6:L9"/>
    <mergeCell ref="J6:J9"/>
    <mergeCell ref="K6:K9"/>
    <mergeCell ref="M6:M9"/>
    <mergeCell ref="N6:N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83"/>
  <sheetViews>
    <sheetView zoomScale="90" zoomScaleNormal="90" workbookViewId="0"/>
  </sheetViews>
  <sheetFormatPr defaultRowHeight="12.75" x14ac:dyDescent="0.2"/>
  <cols>
    <col min="2" max="2" width="4.7109375" customWidth="1"/>
    <col min="3" max="3" width="3" customWidth="1"/>
    <col min="4" max="4" width="3.5703125" customWidth="1"/>
    <col min="5" max="5" width="5.42578125" customWidth="1"/>
    <col min="6" max="6" width="6.28515625" customWidth="1"/>
    <col min="7" max="7" width="4.85546875" customWidth="1"/>
    <col min="8" max="8" width="47.42578125" customWidth="1"/>
    <col min="9" max="9" width="13.5703125" customWidth="1"/>
    <col min="10" max="10" width="12.85546875" customWidth="1"/>
    <col min="11" max="11" width="7.5703125" customWidth="1"/>
    <col min="12" max="12" width="12.5703125" customWidth="1"/>
    <col min="13" max="13" width="11.42578125" customWidth="1"/>
    <col min="14" max="14" width="6.85546875" customWidth="1"/>
    <col min="15" max="15" width="12.5703125" customWidth="1"/>
    <col min="16" max="16" width="11.5703125" customWidth="1"/>
    <col min="17" max="17" width="7.28515625" customWidth="1"/>
  </cols>
  <sheetData>
    <row r="3" spans="2:17" ht="27" x14ac:dyDescent="0.35">
      <c r="B3" s="264" t="s">
        <v>298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2:17" x14ac:dyDescent="0.2">
      <c r="B4" s="271" t="s">
        <v>280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190"/>
      <c r="N4" s="190"/>
      <c r="O4" s="261" t="s">
        <v>575</v>
      </c>
      <c r="P4" s="250" t="s">
        <v>768</v>
      </c>
      <c r="Q4" s="276" t="s">
        <v>765</v>
      </c>
    </row>
    <row r="5" spans="2:17" x14ac:dyDescent="0.2">
      <c r="B5" s="266" t="s">
        <v>111</v>
      </c>
      <c r="C5" s="255" t="s">
        <v>119</v>
      </c>
      <c r="D5" s="255" t="s">
        <v>120</v>
      </c>
      <c r="E5" s="258" t="s">
        <v>124</v>
      </c>
      <c r="F5" s="255" t="s">
        <v>121</v>
      </c>
      <c r="G5" s="255" t="s">
        <v>122</v>
      </c>
      <c r="H5" s="273" t="s">
        <v>123</v>
      </c>
      <c r="I5" s="261" t="s">
        <v>572</v>
      </c>
      <c r="J5" s="250" t="s">
        <v>766</v>
      </c>
      <c r="K5" s="276" t="s">
        <v>765</v>
      </c>
      <c r="L5" s="261" t="s">
        <v>573</v>
      </c>
      <c r="M5" s="250" t="s">
        <v>767</v>
      </c>
      <c r="N5" s="276" t="s">
        <v>765</v>
      </c>
      <c r="O5" s="262"/>
      <c r="P5" s="250"/>
      <c r="Q5" s="276"/>
    </row>
    <row r="6" spans="2:17" x14ac:dyDescent="0.2">
      <c r="B6" s="266"/>
      <c r="C6" s="255"/>
      <c r="D6" s="255"/>
      <c r="E6" s="259"/>
      <c r="F6" s="255"/>
      <c r="G6" s="255"/>
      <c r="H6" s="273"/>
      <c r="I6" s="262"/>
      <c r="J6" s="250"/>
      <c r="K6" s="276"/>
      <c r="L6" s="262"/>
      <c r="M6" s="250"/>
      <c r="N6" s="276"/>
      <c r="O6" s="262"/>
      <c r="P6" s="250"/>
      <c r="Q6" s="276"/>
    </row>
    <row r="7" spans="2:17" x14ac:dyDescent="0.2">
      <c r="B7" s="266"/>
      <c r="C7" s="255"/>
      <c r="D7" s="255"/>
      <c r="E7" s="259"/>
      <c r="F7" s="255"/>
      <c r="G7" s="255"/>
      <c r="H7" s="273"/>
      <c r="I7" s="262"/>
      <c r="J7" s="250"/>
      <c r="K7" s="276"/>
      <c r="L7" s="262"/>
      <c r="M7" s="250"/>
      <c r="N7" s="276"/>
      <c r="O7" s="262"/>
      <c r="P7" s="250"/>
      <c r="Q7" s="276"/>
    </row>
    <row r="8" spans="2:17" ht="13.5" thickBot="1" x14ac:dyDescent="0.25">
      <c r="B8" s="267"/>
      <c r="C8" s="256"/>
      <c r="D8" s="256"/>
      <c r="E8" s="260"/>
      <c r="F8" s="256"/>
      <c r="G8" s="256"/>
      <c r="H8" s="274"/>
      <c r="I8" s="263"/>
      <c r="J8" s="250"/>
      <c r="K8" s="276"/>
      <c r="L8" s="263"/>
      <c r="M8" s="250"/>
      <c r="N8" s="276"/>
      <c r="O8" s="263"/>
      <c r="P8" s="250"/>
      <c r="Q8" s="276"/>
    </row>
    <row r="9" spans="2:17" ht="16.5" thickTop="1" x14ac:dyDescent="0.2">
      <c r="B9" s="71">
        <v>1</v>
      </c>
      <c r="C9" s="268" t="s">
        <v>298</v>
      </c>
      <c r="D9" s="269"/>
      <c r="E9" s="269"/>
      <c r="F9" s="269"/>
      <c r="G9" s="269"/>
      <c r="H9" s="270"/>
      <c r="I9" s="100">
        <f>I10+I29+I54+I62+I65</f>
        <v>1553370</v>
      </c>
      <c r="J9" s="100">
        <f>J10+J29+J54+J62+J65</f>
        <v>1499627</v>
      </c>
      <c r="K9" s="198">
        <f t="shared" ref="K9:K22" si="0">J9/I9*100</f>
        <v>96.540231882938386</v>
      </c>
      <c r="L9" s="100">
        <f>L10+L29+L54+L62+L65</f>
        <v>160711</v>
      </c>
      <c r="M9" s="100">
        <f>M10+M29+M54+M62+M65</f>
        <v>88401</v>
      </c>
      <c r="N9" s="198">
        <f>M9/L9*100</f>
        <v>55.006191237687531</v>
      </c>
      <c r="O9" s="44">
        <f t="shared" ref="O9:O32" si="1">L9+I9</f>
        <v>1714081</v>
      </c>
      <c r="P9" s="44">
        <f t="shared" ref="P9:P32" si="2">M9+J9</f>
        <v>1588028</v>
      </c>
      <c r="Q9" s="203">
        <f t="shared" ref="Q9:Q40" si="3">P9/O9*100</f>
        <v>92.646030146766691</v>
      </c>
    </row>
    <row r="10" spans="2:17" ht="15" x14ac:dyDescent="0.2">
      <c r="B10" s="72">
        <f>B9+1</f>
        <v>2</v>
      </c>
      <c r="C10" s="179">
        <v>1</v>
      </c>
      <c r="D10" s="257" t="s">
        <v>156</v>
      </c>
      <c r="E10" s="253"/>
      <c r="F10" s="253"/>
      <c r="G10" s="253"/>
      <c r="H10" s="254"/>
      <c r="I10" s="45">
        <f>I11+I12+I13+I20+I21+I23</f>
        <v>1018570</v>
      </c>
      <c r="J10" s="45">
        <f>J11+J12+J13+J20+J21+J23</f>
        <v>988092</v>
      </c>
      <c r="K10" s="198">
        <f t="shared" si="0"/>
        <v>97.007765789292833</v>
      </c>
      <c r="L10" s="45">
        <f>L11+L12+L13+L20+L21+L23</f>
        <v>43185</v>
      </c>
      <c r="M10" s="45">
        <f>M11+M12+M13+M20+M21+M23</f>
        <v>40560</v>
      </c>
      <c r="N10" s="198">
        <f>M10/L10*100</f>
        <v>93.921500521014252</v>
      </c>
      <c r="O10" s="45">
        <f t="shared" si="1"/>
        <v>1061755</v>
      </c>
      <c r="P10" s="45">
        <f t="shared" si="2"/>
        <v>1028652</v>
      </c>
      <c r="Q10" s="203">
        <f t="shared" si="3"/>
        <v>96.882237427655156</v>
      </c>
    </row>
    <row r="11" spans="2:17" x14ac:dyDescent="0.2">
      <c r="B11" s="72">
        <f>B10+1</f>
        <v>3</v>
      </c>
      <c r="C11" s="12"/>
      <c r="D11" s="12"/>
      <c r="E11" s="12"/>
      <c r="F11" s="52" t="s">
        <v>155</v>
      </c>
      <c r="G11" s="12">
        <v>610</v>
      </c>
      <c r="H11" s="12" t="s">
        <v>135</v>
      </c>
      <c r="I11" s="49">
        <f>582000+29250-6000-3100+15000-5500+4000</f>
        <v>615650</v>
      </c>
      <c r="J11" s="49">
        <v>613748</v>
      </c>
      <c r="K11" s="198">
        <f t="shared" si="0"/>
        <v>99.691058231137816</v>
      </c>
      <c r="L11" s="49"/>
      <c r="M11" s="49"/>
      <c r="N11" s="198"/>
      <c r="O11" s="49">
        <f t="shared" si="1"/>
        <v>615650</v>
      </c>
      <c r="P11" s="49">
        <f t="shared" si="2"/>
        <v>613748</v>
      </c>
      <c r="Q11" s="203">
        <f t="shared" si="3"/>
        <v>99.691058231137816</v>
      </c>
    </row>
    <row r="12" spans="2:17" x14ac:dyDescent="0.2">
      <c r="B12" s="72">
        <f t="shared" ref="B12:B29" si="4">B11+1</f>
        <v>4</v>
      </c>
      <c r="C12" s="12"/>
      <c r="D12" s="12"/>
      <c r="E12" s="12"/>
      <c r="F12" s="52" t="s">
        <v>155</v>
      </c>
      <c r="G12" s="12">
        <v>620</v>
      </c>
      <c r="H12" s="12" t="s">
        <v>130</v>
      </c>
      <c r="I12" s="49">
        <f>210000+15750+4300+1400-1500</f>
        <v>229950</v>
      </c>
      <c r="J12" s="49">
        <v>221796</v>
      </c>
      <c r="K12" s="198">
        <f t="shared" si="0"/>
        <v>96.454011741682976</v>
      </c>
      <c r="L12" s="49"/>
      <c r="M12" s="49"/>
      <c r="N12" s="198"/>
      <c r="O12" s="49">
        <f t="shared" si="1"/>
        <v>229950</v>
      </c>
      <c r="P12" s="49">
        <f t="shared" si="2"/>
        <v>221796</v>
      </c>
      <c r="Q12" s="203">
        <f t="shared" si="3"/>
        <v>96.454011741682976</v>
      </c>
    </row>
    <row r="13" spans="2:17" x14ac:dyDescent="0.2">
      <c r="B13" s="72">
        <f t="shared" si="4"/>
        <v>5</v>
      </c>
      <c r="C13" s="12"/>
      <c r="D13" s="12"/>
      <c r="E13" s="12"/>
      <c r="F13" s="52" t="s">
        <v>155</v>
      </c>
      <c r="G13" s="12">
        <v>630</v>
      </c>
      <c r="H13" s="12" t="s">
        <v>127</v>
      </c>
      <c r="I13" s="49">
        <f>I19+I18+I17+I16+I15+I14</f>
        <v>165300</v>
      </c>
      <c r="J13" s="49">
        <f>J19+J18+J17+J16+J15+J14</f>
        <v>145477</v>
      </c>
      <c r="K13" s="198">
        <f t="shared" si="0"/>
        <v>88.007864488808224</v>
      </c>
      <c r="L13" s="49">
        <f>L19+L18+L17+L16+L15+L14</f>
        <v>0</v>
      </c>
      <c r="M13" s="49">
        <f>M19+M18+M17+M16+M15+M14</f>
        <v>0</v>
      </c>
      <c r="N13" s="198"/>
      <c r="O13" s="49">
        <f t="shared" si="1"/>
        <v>165300</v>
      </c>
      <c r="P13" s="49">
        <f t="shared" si="2"/>
        <v>145477</v>
      </c>
      <c r="Q13" s="203">
        <f t="shared" si="3"/>
        <v>88.007864488808224</v>
      </c>
    </row>
    <row r="14" spans="2:17" x14ac:dyDescent="0.2">
      <c r="B14" s="72">
        <f t="shared" si="4"/>
        <v>6</v>
      </c>
      <c r="C14" s="4"/>
      <c r="D14" s="4"/>
      <c r="E14" s="4"/>
      <c r="F14" s="53" t="s">
        <v>155</v>
      </c>
      <c r="G14" s="4">
        <v>631</v>
      </c>
      <c r="H14" s="4" t="s">
        <v>133</v>
      </c>
      <c r="I14" s="23">
        <f>2370+6000+2800+2000</f>
        <v>13170</v>
      </c>
      <c r="J14" s="23">
        <v>10941</v>
      </c>
      <c r="K14" s="198">
        <f t="shared" si="0"/>
        <v>83.075170842824591</v>
      </c>
      <c r="L14" s="23"/>
      <c r="M14" s="23"/>
      <c r="N14" s="198"/>
      <c r="O14" s="23">
        <f t="shared" si="1"/>
        <v>13170</v>
      </c>
      <c r="P14" s="23">
        <f t="shared" si="2"/>
        <v>10941</v>
      </c>
      <c r="Q14" s="203">
        <f t="shared" si="3"/>
        <v>83.075170842824591</v>
      </c>
    </row>
    <row r="15" spans="2:17" x14ac:dyDescent="0.2">
      <c r="B15" s="72">
        <f t="shared" si="4"/>
        <v>7</v>
      </c>
      <c r="C15" s="4"/>
      <c r="D15" s="4"/>
      <c r="E15" s="4"/>
      <c r="F15" s="53" t="s">
        <v>155</v>
      </c>
      <c r="G15" s="4">
        <v>632</v>
      </c>
      <c r="H15" s="4" t="s">
        <v>138</v>
      </c>
      <c r="I15" s="23">
        <v>25000</v>
      </c>
      <c r="J15" s="23">
        <v>16422</v>
      </c>
      <c r="K15" s="198">
        <f t="shared" si="0"/>
        <v>65.688000000000002</v>
      </c>
      <c r="L15" s="23"/>
      <c r="M15" s="23"/>
      <c r="N15" s="198"/>
      <c r="O15" s="23">
        <f t="shared" si="1"/>
        <v>25000</v>
      </c>
      <c r="P15" s="23">
        <f t="shared" si="2"/>
        <v>16422</v>
      </c>
      <c r="Q15" s="203">
        <f t="shared" si="3"/>
        <v>65.688000000000002</v>
      </c>
    </row>
    <row r="16" spans="2:17" x14ac:dyDescent="0.2">
      <c r="B16" s="72">
        <f t="shared" si="4"/>
        <v>8</v>
      </c>
      <c r="C16" s="4"/>
      <c r="D16" s="4"/>
      <c r="E16" s="4"/>
      <c r="F16" s="53" t="s">
        <v>155</v>
      </c>
      <c r="G16" s="4">
        <v>633</v>
      </c>
      <c r="H16" s="4" t="s">
        <v>131</v>
      </c>
      <c r="I16" s="23">
        <f>40000-1700+5400+900+8600-8800-1000</f>
        <v>43400</v>
      </c>
      <c r="J16" s="23">
        <v>35843</v>
      </c>
      <c r="K16" s="198">
        <f t="shared" si="0"/>
        <v>82.587557603686633</v>
      </c>
      <c r="L16" s="23"/>
      <c r="M16" s="23"/>
      <c r="N16" s="198"/>
      <c r="O16" s="23">
        <f t="shared" si="1"/>
        <v>43400</v>
      </c>
      <c r="P16" s="23">
        <f t="shared" si="2"/>
        <v>35843</v>
      </c>
      <c r="Q16" s="203">
        <f t="shared" si="3"/>
        <v>82.587557603686633</v>
      </c>
    </row>
    <row r="17" spans="2:18" x14ac:dyDescent="0.2">
      <c r="B17" s="72">
        <f t="shared" si="4"/>
        <v>9</v>
      </c>
      <c r="C17" s="4"/>
      <c r="D17" s="4"/>
      <c r="E17" s="4"/>
      <c r="F17" s="53" t="s">
        <v>155</v>
      </c>
      <c r="G17" s="4">
        <v>634</v>
      </c>
      <c r="H17" s="4" t="s">
        <v>136</v>
      </c>
      <c r="I17" s="23">
        <f>31980-4000+1000</f>
        <v>28980</v>
      </c>
      <c r="J17" s="23">
        <v>27706</v>
      </c>
      <c r="K17" s="198">
        <f t="shared" si="0"/>
        <v>95.60386473429952</v>
      </c>
      <c r="L17" s="23"/>
      <c r="M17" s="23"/>
      <c r="N17" s="198"/>
      <c r="O17" s="23">
        <f t="shared" si="1"/>
        <v>28980</v>
      </c>
      <c r="P17" s="23">
        <f t="shared" si="2"/>
        <v>27706</v>
      </c>
      <c r="Q17" s="203">
        <f t="shared" si="3"/>
        <v>95.60386473429952</v>
      </c>
    </row>
    <row r="18" spans="2:18" ht="13.5" customHeight="1" x14ac:dyDescent="0.2">
      <c r="B18" s="72">
        <f t="shared" si="4"/>
        <v>10</v>
      </c>
      <c r="C18" s="4"/>
      <c r="D18" s="4"/>
      <c r="E18" s="4"/>
      <c r="F18" s="53" t="s">
        <v>155</v>
      </c>
      <c r="G18" s="4">
        <v>635</v>
      </c>
      <c r="H18" s="4" t="s">
        <v>137</v>
      </c>
      <c r="I18" s="23">
        <f>1800+800+3870</f>
        <v>6470</v>
      </c>
      <c r="J18" s="23">
        <v>6211</v>
      </c>
      <c r="K18" s="198">
        <f t="shared" si="0"/>
        <v>95.996908809891806</v>
      </c>
      <c r="L18" s="23"/>
      <c r="M18" s="23"/>
      <c r="N18" s="198"/>
      <c r="O18" s="23">
        <f t="shared" si="1"/>
        <v>6470</v>
      </c>
      <c r="P18" s="23">
        <f t="shared" si="2"/>
        <v>6211</v>
      </c>
      <c r="Q18" s="203">
        <f t="shared" si="3"/>
        <v>95.996908809891806</v>
      </c>
    </row>
    <row r="19" spans="2:18" x14ac:dyDescent="0.2">
      <c r="B19" s="72">
        <f t="shared" si="4"/>
        <v>11</v>
      </c>
      <c r="C19" s="4"/>
      <c r="D19" s="4"/>
      <c r="E19" s="4"/>
      <c r="F19" s="53" t="s">
        <v>155</v>
      </c>
      <c r="G19" s="4">
        <v>637</v>
      </c>
      <c r="H19" s="4" t="s">
        <v>128</v>
      </c>
      <c r="I19" s="23">
        <f>44880+2500+900</f>
        <v>48280</v>
      </c>
      <c r="J19" s="23">
        <v>48354</v>
      </c>
      <c r="K19" s="198">
        <f t="shared" si="0"/>
        <v>100.15327257663628</v>
      </c>
      <c r="L19" s="23"/>
      <c r="M19" s="23"/>
      <c r="N19" s="198"/>
      <c r="O19" s="23">
        <f t="shared" si="1"/>
        <v>48280</v>
      </c>
      <c r="P19" s="23">
        <f t="shared" si="2"/>
        <v>48354</v>
      </c>
      <c r="Q19" s="203">
        <f t="shared" si="3"/>
        <v>100.15327257663628</v>
      </c>
      <c r="R19" s="18"/>
    </row>
    <row r="20" spans="2:18" x14ac:dyDescent="0.2">
      <c r="B20" s="72">
        <f t="shared" si="4"/>
        <v>12</v>
      </c>
      <c r="C20" s="12"/>
      <c r="D20" s="12"/>
      <c r="E20" s="12"/>
      <c r="F20" s="52" t="s">
        <v>155</v>
      </c>
      <c r="G20" s="12">
        <v>640</v>
      </c>
      <c r="H20" s="12" t="s">
        <v>134</v>
      </c>
      <c r="I20" s="49">
        <f>170+5500+1500</f>
        <v>7170</v>
      </c>
      <c r="J20" s="49">
        <v>6646</v>
      </c>
      <c r="K20" s="198">
        <f t="shared" si="0"/>
        <v>92.691771269177124</v>
      </c>
      <c r="L20" s="49"/>
      <c r="M20" s="49"/>
      <c r="N20" s="198"/>
      <c r="O20" s="49">
        <f t="shared" si="1"/>
        <v>7170</v>
      </c>
      <c r="P20" s="49">
        <f t="shared" si="2"/>
        <v>6646</v>
      </c>
      <c r="Q20" s="203">
        <f t="shared" si="3"/>
        <v>92.691771269177124</v>
      </c>
    </row>
    <row r="21" spans="2:18" x14ac:dyDescent="0.2">
      <c r="B21" s="72">
        <f t="shared" si="4"/>
        <v>13</v>
      </c>
      <c r="C21" s="12"/>
      <c r="D21" s="12"/>
      <c r="E21" s="12"/>
      <c r="F21" s="52" t="s">
        <v>163</v>
      </c>
      <c r="G21" s="12">
        <v>630</v>
      </c>
      <c r="H21" s="12" t="s">
        <v>127</v>
      </c>
      <c r="I21" s="49">
        <f>I22</f>
        <v>500</v>
      </c>
      <c r="J21" s="49">
        <f>J22</f>
        <v>425</v>
      </c>
      <c r="K21" s="198">
        <f t="shared" si="0"/>
        <v>85</v>
      </c>
      <c r="L21" s="49">
        <f>L22</f>
        <v>0</v>
      </c>
      <c r="M21" s="49">
        <f>M22</f>
        <v>0</v>
      </c>
      <c r="N21" s="198"/>
      <c r="O21" s="49">
        <f t="shared" si="1"/>
        <v>500</v>
      </c>
      <c r="P21" s="49">
        <f t="shared" si="2"/>
        <v>425</v>
      </c>
      <c r="Q21" s="203">
        <f t="shared" si="3"/>
        <v>85</v>
      </c>
    </row>
    <row r="22" spans="2:18" x14ac:dyDescent="0.2">
      <c r="B22" s="72">
        <f t="shared" si="4"/>
        <v>14</v>
      </c>
      <c r="C22" s="4"/>
      <c r="D22" s="4"/>
      <c r="E22" s="4"/>
      <c r="F22" s="53" t="s">
        <v>163</v>
      </c>
      <c r="G22" s="4">
        <v>637</v>
      </c>
      <c r="H22" s="4" t="s">
        <v>128</v>
      </c>
      <c r="I22" s="23">
        <v>500</v>
      </c>
      <c r="J22" s="23">
        <v>425</v>
      </c>
      <c r="K22" s="198">
        <f t="shared" si="0"/>
        <v>85</v>
      </c>
      <c r="L22" s="23"/>
      <c r="M22" s="23"/>
      <c r="N22" s="198"/>
      <c r="O22" s="23">
        <f t="shared" si="1"/>
        <v>500</v>
      </c>
      <c r="P22" s="23">
        <f t="shared" si="2"/>
        <v>425</v>
      </c>
      <c r="Q22" s="203">
        <f t="shared" si="3"/>
        <v>85</v>
      </c>
    </row>
    <row r="23" spans="2:18" x14ac:dyDescent="0.2">
      <c r="B23" s="72">
        <f t="shared" si="4"/>
        <v>15</v>
      </c>
      <c r="C23" s="12"/>
      <c r="D23" s="12"/>
      <c r="E23" s="12"/>
      <c r="F23" s="52" t="s">
        <v>155</v>
      </c>
      <c r="G23" s="12">
        <v>710</v>
      </c>
      <c r="H23" s="12" t="s">
        <v>183</v>
      </c>
      <c r="I23" s="49">
        <f>I28+I26</f>
        <v>0</v>
      </c>
      <c r="J23" s="49">
        <f>J28+J26</f>
        <v>0</v>
      </c>
      <c r="K23" s="198"/>
      <c r="L23" s="49">
        <f>L28+L26+L24</f>
        <v>43185</v>
      </c>
      <c r="M23" s="49">
        <f>M28+M26+M24</f>
        <v>40560</v>
      </c>
      <c r="N23" s="198">
        <f t="shared" ref="N23:N29" si="5">M23/L23*100</f>
        <v>93.921500521014252</v>
      </c>
      <c r="O23" s="49">
        <f t="shared" si="1"/>
        <v>43185</v>
      </c>
      <c r="P23" s="49">
        <f t="shared" si="2"/>
        <v>40560</v>
      </c>
      <c r="Q23" s="203">
        <f t="shared" si="3"/>
        <v>93.921500521014252</v>
      </c>
    </row>
    <row r="24" spans="2:18" x14ac:dyDescent="0.2">
      <c r="B24" s="72">
        <f t="shared" si="4"/>
        <v>16</v>
      </c>
      <c r="C24" s="12"/>
      <c r="D24" s="12"/>
      <c r="E24" s="12"/>
      <c r="F24" s="82" t="s">
        <v>155</v>
      </c>
      <c r="G24" s="83">
        <v>711</v>
      </c>
      <c r="H24" s="83" t="s">
        <v>222</v>
      </c>
      <c r="I24" s="84"/>
      <c r="J24" s="84"/>
      <c r="K24" s="198"/>
      <c r="L24" s="84">
        <f>L25</f>
        <v>13085</v>
      </c>
      <c r="M24" s="84">
        <f>M25</f>
        <v>13081</v>
      </c>
      <c r="N24" s="198">
        <f t="shared" si="5"/>
        <v>99.969430645777607</v>
      </c>
      <c r="O24" s="84">
        <f t="shared" si="1"/>
        <v>13085</v>
      </c>
      <c r="P24" s="84">
        <f t="shared" si="2"/>
        <v>13081</v>
      </c>
      <c r="Q24" s="203">
        <f t="shared" si="3"/>
        <v>99.969430645777607</v>
      </c>
    </row>
    <row r="25" spans="2:18" x14ac:dyDescent="0.2">
      <c r="B25" s="72">
        <f t="shared" si="4"/>
        <v>17</v>
      </c>
      <c r="C25" s="12"/>
      <c r="D25" s="12"/>
      <c r="E25" s="12"/>
      <c r="F25" s="53"/>
      <c r="G25" s="4"/>
      <c r="H25" s="4" t="s">
        <v>755</v>
      </c>
      <c r="I25" s="23"/>
      <c r="J25" s="23"/>
      <c r="K25" s="198"/>
      <c r="L25" s="23">
        <v>13085</v>
      </c>
      <c r="M25" s="23">
        <v>13081</v>
      </c>
      <c r="N25" s="198">
        <f t="shared" si="5"/>
        <v>99.969430645777607</v>
      </c>
      <c r="O25" s="23">
        <f t="shared" si="1"/>
        <v>13085</v>
      </c>
      <c r="P25" s="23">
        <f t="shared" si="2"/>
        <v>13081</v>
      </c>
      <c r="Q25" s="203">
        <f t="shared" si="3"/>
        <v>99.969430645777607</v>
      </c>
    </row>
    <row r="26" spans="2:18" x14ac:dyDescent="0.2">
      <c r="B26" s="72">
        <f t="shared" si="4"/>
        <v>18</v>
      </c>
      <c r="C26" s="4"/>
      <c r="D26" s="4"/>
      <c r="E26" s="4"/>
      <c r="F26" s="82" t="s">
        <v>155</v>
      </c>
      <c r="G26" s="83">
        <v>713</v>
      </c>
      <c r="H26" s="83" t="s">
        <v>4</v>
      </c>
      <c r="I26" s="84"/>
      <c r="J26" s="84"/>
      <c r="K26" s="198"/>
      <c r="L26" s="84">
        <f>L27</f>
        <v>4800</v>
      </c>
      <c r="M26" s="84">
        <f>M27</f>
        <v>4533</v>
      </c>
      <c r="N26" s="198">
        <f t="shared" si="5"/>
        <v>94.4375</v>
      </c>
      <c r="O26" s="84">
        <f t="shared" si="1"/>
        <v>4800</v>
      </c>
      <c r="P26" s="84">
        <f t="shared" si="2"/>
        <v>4533</v>
      </c>
      <c r="Q26" s="203">
        <f t="shared" si="3"/>
        <v>94.4375</v>
      </c>
    </row>
    <row r="27" spans="2:18" x14ac:dyDescent="0.2">
      <c r="B27" s="72">
        <f t="shared" si="4"/>
        <v>19</v>
      </c>
      <c r="C27" s="4"/>
      <c r="D27" s="4"/>
      <c r="E27" s="4"/>
      <c r="F27" s="53"/>
      <c r="G27" s="4"/>
      <c r="H27" s="4" t="s">
        <v>365</v>
      </c>
      <c r="I27" s="23"/>
      <c r="J27" s="23"/>
      <c r="K27" s="198"/>
      <c r="L27" s="23">
        <f>1700+3100</f>
        <v>4800</v>
      </c>
      <c r="M27" s="23">
        <v>4533</v>
      </c>
      <c r="N27" s="198">
        <f t="shared" si="5"/>
        <v>94.4375</v>
      </c>
      <c r="O27" s="23">
        <f t="shared" si="1"/>
        <v>4800</v>
      </c>
      <c r="P27" s="23">
        <f t="shared" si="2"/>
        <v>4533</v>
      </c>
      <c r="Q27" s="203">
        <f t="shared" si="3"/>
        <v>94.4375</v>
      </c>
    </row>
    <row r="28" spans="2:18" x14ac:dyDescent="0.2">
      <c r="B28" s="72">
        <f t="shared" si="4"/>
        <v>20</v>
      </c>
      <c r="C28" s="4"/>
      <c r="D28" s="4"/>
      <c r="E28" s="4"/>
      <c r="F28" s="82" t="s">
        <v>155</v>
      </c>
      <c r="G28" s="83">
        <v>714</v>
      </c>
      <c r="H28" s="83" t="s">
        <v>184</v>
      </c>
      <c r="I28" s="84"/>
      <c r="J28" s="84"/>
      <c r="K28" s="198"/>
      <c r="L28" s="84">
        <f>12500+12800</f>
        <v>25300</v>
      </c>
      <c r="M28" s="84">
        <v>22946</v>
      </c>
      <c r="N28" s="198">
        <f t="shared" si="5"/>
        <v>90.695652173913047</v>
      </c>
      <c r="O28" s="84">
        <f t="shared" si="1"/>
        <v>25300</v>
      </c>
      <c r="P28" s="84">
        <f t="shared" si="2"/>
        <v>22946</v>
      </c>
      <c r="Q28" s="203">
        <f t="shared" si="3"/>
        <v>90.695652173913047</v>
      </c>
    </row>
    <row r="29" spans="2:18" ht="15" x14ac:dyDescent="0.2">
      <c r="B29" s="72">
        <f t="shared" si="4"/>
        <v>21</v>
      </c>
      <c r="C29" s="179">
        <v>2</v>
      </c>
      <c r="D29" s="257" t="s">
        <v>218</v>
      </c>
      <c r="E29" s="253"/>
      <c r="F29" s="253"/>
      <c r="G29" s="253"/>
      <c r="H29" s="254"/>
      <c r="I29" s="45">
        <f>I30+I32+I42</f>
        <v>497200</v>
      </c>
      <c r="J29" s="45">
        <f>J30+J32+J42</f>
        <v>479689</v>
      </c>
      <c r="K29" s="198">
        <f>J29/I29*100</f>
        <v>96.478077232502017</v>
      </c>
      <c r="L29" s="45">
        <f>L30+L32+L42</f>
        <v>99099</v>
      </c>
      <c r="M29" s="45">
        <f>M30+M32+M42</f>
        <v>30686</v>
      </c>
      <c r="N29" s="198">
        <f t="shared" si="5"/>
        <v>30.964994601358235</v>
      </c>
      <c r="O29" s="45">
        <f t="shared" si="1"/>
        <v>596299</v>
      </c>
      <c r="P29" s="45">
        <f t="shared" si="2"/>
        <v>510375</v>
      </c>
      <c r="Q29" s="203">
        <f t="shared" si="3"/>
        <v>85.590450428392472</v>
      </c>
    </row>
    <row r="30" spans="2:18" x14ac:dyDescent="0.2">
      <c r="B30" s="72">
        <f t="shared" ref="B30:B33" si="6">B29+1</f>
        <v>22</v>
      </c>
      <c r="C30" s="12"/>
      <c r="D30" s="12"/>
      <c r="E30" s="12"/>
      <c r="F30" s="52" t="s">
        <v>217</v>
      </c>
      <c r="G30" s="12">
        <v>630</v>
      </c>
      <c r="H30" s="12" t="s">
        <v>127</v>
      </c>
      <c r="I30" s="49">
        <f>I31</f>
        <v>400000</v>
      </c>
      <c r="J30" s="49">
        <f>J31</f>
        <v>395701</v>
      </c>
      <c r="K30" s="198">
        <f>J30/I30*100</f>
        <v>98.925249999999991</v>
      </c>
      <c r="L30" s="49">
        <v>0</v>
      </c>
      <c r="M30" s="49"/>
      <c r="N30" s="198"/>
      <c r="O30" s="49">
        <f t="shared" si="1"/>
        <v>400000</v>
      </c>
      <c r="P30" s="49">
        <f t="shared" si="2"/>
        <v>395701</v>
      </c>
      <c r="Q30" s="203">
        <f t="shared" si="3"/>
        <v>98.925249999999991</v>
      </c>
    </row>
    <row r="31" spans="2:18" x14ac:dyDescent="0.2">
      <c r="B31" s="72">
        <f t="shared" si="6"/>
        <v>23</v>
      </c>
      <c r="C31" s="4"/>
      <c r="D31" s="4"/>
      <c r="E31" s="4"/>
      <c r="F31" s="53" t="s">
        <v>217</v>
      </c>
      <c r="G31" s="4">
        <v>632</v>
      </c>
      <c r="H31" s="4" t="s">
        <v>138</v>
      </c>
      <c r="I31" s="23">
        <v>400000</v>
      </c>
      <c r="J31" s="23">
        <v>395701</v>
      </c>
      <c r="K31" s="198">
        <f>J31/I31*100</f>
        <v>98.925249999999991</v>
      </c>
      <c r="L31" s="23"/>
      <c r="M31" s="23"/>
      <c r="N31" s="198"/>
      <c r="O31" s="23">
        <f t="shared" si="1"/>
        <v>400000</v>
      </c>
      <c r="P31" s="23">
        <f t="shared" si="2"/>
        <v>395701</v>
      </c>
      <c r="Q31" s="203">
        <f t="shared" si="3"/>
        <v>98.925249999999991</v>
      </c>
    </row>
    <row r="32" spans="2:18" x14ac:dyDescent="0.2">
      <c r="B32" s="72">
        <f t="shared" si="6"/>
        <v>24</v>
      </c>
      <c r="C32" s="12"/>
      <c r="D32" s="12"/>
      <c r="E32" s="12"/>
      <c r="F32" s="52" t="s">
        <v>217</v>
      </c>
      <c r="G32" s="12">
        <v>710</v>
      </c>
      <c r="H32" s="12" t="s">
        <v>183</v>
      </c>
      <c r="I32" s="49">
        <f>I35</f>
        <v>0</v>
      </c>
      <c r="J32" s="49">
        <f>J35</f>
        <v>0</v>
      </c>
      <c r="K32" s="198"/>
      <c r="L32" s="49">
        <f>L35+L33</f>
        <v>93099</v>
      </c>
      <c r="M32" s="49">
        <f>M35+M33</f>
        <v>24691</v>
      </c>
      <c r="N32" s="198">
        <f t="shared" ref="N32:N42" si="7">M32/L32*100</f>
        <v>26.521230088400522</v>
      </c>
      <c r="O32" s="49">
        <f t="shared" si="1"/>
        <v>93099</v>
      </c>
      <c r="P32" s="49">
        <f t="shared" si="2"/>
        <v>24691</v>
      </c>
      <c r="Q32" s="203">
        <f t="shared" si="3"/>
        <v>26.521230088400522</v>
      </c>
    </row>
    <row r="33" spans="2:17" x14ac:dyDescent="0.2">
      <c r="B33" s="72">
        <f t="shared" si="6"/>
        <v>25</v>
      </c>
      <c r="C33" s="12"/>
      <c r="D33" s="12"/>
      <c r="E33" s="12"/>
      <c r="F33" s="82" t="s">
        <v>217</v>
      </c>
      <c r="G33" s="83">
        <v>716</v>
      </c>
      <c r="H33" s="83" t="s">
        <v>0</v>
      </c>
      <c r="I33" s="84"/>
      <c r="J33" s="84"/>
      <c r="K33" s="198"/>
      <c r="L33" s="84">
        <f>L34</f>
        <v>2000</v>
      </c>
      <c r="M33" s="84">
        <f>M34</f>
        <v>1646</v>
      </c>
      <c r="N33" s="198">
        <f t="shared" si="7"/>
        <v>82.3</v>
      </c>
      <c r="O33" s="84">
        <f>I33+L33</f>
        <v>2000</v>
      </c>
      <c r="P33" s="84">
        <f>J33+M33</f>
        <v>1646</v>
      </c>
      <c r="Q33" s="203">
        <f t="shared" si="3"/>
        <v>82.3</v>
      </c>
    </row>
    <row r="34" spans="2:17" x14ac:dyDescent="0.2">
      <c r="B34" s="72">
        <f t="shared" ref="B34:B65" si="8">B33+1</f>
        <v>26</v>
      </c>
      <c r="C34" s="12"/>
      <c r="D34" s="12"/>
      <c r="E34" s="12"/>
      <c r="F34" s="53"/>
      <c r="G34" s="4"/>
      <c r="H34" s="4" t="s">
        <v>639</v>
      </c>
      <c r="I34" s="23"/>
      <c r="J34" s="23"/>
      <c r="K34" s="198"/>
      <c r="L34" s="23">
        <v>2000</v>
      </c>
      <c r="M34" s="23">
        <v>1646</v>
      </c>
      <c r="N34" s="198">
        <f t="shared" si="7"/>
        <v>82.3</v>
      </c>
      <c r="O34" s="23">
        <f>I34+L34</f>
        <v>2000</v>
      </c>
      <c r="P34" s="23">
        <f>J34+M34</f>
        <v>1646</v>
      </c>
      <c r="Q34" s="203">
        <f t="shared" si="3"/>
        <v>82.3</v>
      </c>
    </row>
    <row r="35" spans="2:17" x14ac:dyDescent="0.2">
      <c r="B35" s="72">
        <f t="shared" si="8"/>
        <v>27</v>
      </c>
      <c r="C35" s="4"/>
      <c r="D35" s="4"/>
      <c r="E35" s="4"/>
      <c r="F35" s="82" t="s">
        <v>217</v>
      </c>
      <c r="G35" s="83">
        <v>717</v>
      </c>
      <c r="H35" s="83" t="s">
        <v>193</v>
      </c>
      <c r="I35" s="84"/>
      <c r="J35" s="84"/>
      <c r="K35" s="198"/>
      <c r="L35" s="84">
        <f>SUM(L36:L41)</f>
        <v>91099</v>
      </c>
      <c r="M35" s="84">
        <f>SUM(M36:M41)</f>
        <v>23045</v>
      </c>
      <c r="N35" s="198">
        <f t="shared" si="7"/>
        <v>25.296655287105235</v>
      </c>
      <c r="O35" s="84">
        <f t="shared" ref="O35:O77" si="9">L35+I35</f>
        <v>91099</v>
      </c>
      <c r="P35" s="84">
        <f t="shared" ref="P35:P77" si="10">M35+J35</f>
        <v>23045</v>
      </c>
      <c r="Q35" s="203">
        <f t="shared" si="3"/>
        <v>25.296655287105235</v>
      </c>
    </row>
    <row r="36" spans="2:17" x14ac:dyDescent="0.2">
      <c r="B36" s="72">
        <f t="shared" si="8"/>
        <v>28</v>
      </c>
      <c r="C36" s="4"/>
      <c r="D36" s="4"/>
      <c r="E36" s="4"/>
      <c r="F36" s="53"/>
      <c r="G36" s="4"/>
      <c r="H36" s="4" t="s">
        <v>472</v>
      </c>
      <c r="I36" s="23"/>
      <c r="J36" s="23"/>
      <c r="K36" s="198"/>
      <c r="L36" s="23">
        <f>19500-17300+190</f>
        <v>2390</v>
      </c>
      <c r="M36" s="23">
        <v>2389</v>
      </c>
      <c r="N36" s="198">
        <f t="shared" si="7"/>
        <v>99.958158995815907</v>
      </c>
      <c r="O36" s="23">
        <f t="shared" si="9"/>
        <v>2390</v>
      </c>
      <c r="P36" s="23">
        <f t="shared" si="10"/>
        <v>2389</v>
      </c>
      <c r="Q36" s="203">
        <f t="shared" si="3"/>
        <v>99.958158995815907</v>
      </c>
    </row>
    <row r="37" spans="2:17" x14ac:dyDescent="0.2">
      <c r="B37" s="72">
        <f t="shared" si="8"/>
        <v>29</v>
      </c>
      <c r="C37" s="4"/>
      <c r="D37" s="4"/>
      <c r="E37" s="4"/>
      <c r="F37" s="53"/>
      <c r="G37" s="4"/>
      <c r="H37" s="4" t="s">
        <v>473</v>
      </c>
      <c r="I37" s="23"/>
      <c r="J37" s="23"/>
      <c r="K37" s="198"/>
      <c r="L37" s="23">
        <f>20000-16750+312</f>
        <v>3562</v>
      </c>
      <c r="M37" s="23">
        <v>3561</v>
      </c>
      <c r="N37" s="198">
        <f t="shared" si="7"/>
        <v>99.971925884334638</v>
      </c>
      <c r="O37" s="23">
        <f t="shared" si="9"/>
        <v>3562</v>
      </c>
      <c r="P37" s="23">
        <f t="shared" si="10"/>
        <v>3561</v>
      </c>
      <c r="Q37" s="203">
        <f t="shared" si="3"/>
        <v>99.971925884334638</v>
      </c>
    </row>
    <row r="38" spans="2:17" x14ac:dyDescent="0.2">
      <c r="B38" s="72">
        <f t="shared" si="8"/>
        <v>30</v>
      </c>
      <c r="C38" s="4"/>
      <c r="D38" s="4"/>
      <c r="E38" s="4"/>
      <c r="F38" s="53"/>
      <c r="G38" s="4"/>
      <c r="H38" s="4" t="s">
        <v>583</v>
      </c>
      <c r="I38" s="23"/>
      <c r="J38" s="23"/>
      <c r="K38" s="198"/>
      <c r="L38" s="23">
        <f>70000-2000</f>
        <v>68000</v>
      </c>
      <c r="M38" s="23"/>
      <c r="N38" s="198">
        <f t="shared" si="7"/>
        <v>0</v>
      </c>
      <c r="O38" s="23">
        <f t="shared" si="9"/>
        <v>68000</v>
      </c>
      <c r="P38" s="23">
        <f t="shared" si="10"/>
        <v>0</v>
      </c>
      <c r="Q38" s="203">
        <f t="shared" si="3"/>
        <v>0</v>
      </c>
    </row>
    <row r="39" spans="2:17" x14ac:dyDescent="0.2">
      <c r="B39" s="72">
        <f t="shared" si="8"/>
        <v>31</v>
      </c>
      <c r="C39" s="4"/>
      <c r="D39" s="4"/>
      <c r="E39" s="4"/>
      <c r="F39" s="53"/>
      <c r="G39" s="4"/>
      <c r="H39" s="115" t="s">
        <v>518</v>
      </c>
      <c r="I39" s="114"/>
      <c r="J39" s="114"/>
      <c r="K39" s="198"/>
      <c r="L39" s="114">
        <f>7500+2500-500-1500-465</f>
        <v>7535</v>
      </c>
      <c r="M39" s="114">
        <v>7535</v>
      </c>
      <c r="N39" s="198">
        <f t="shared" si="7"/>
        <v>100</v>
      </c>
      <c r="O39" s="114">
        <f t="shared" si="9"/>
        <v>7535</v>
      </c>
      <c r="P39" s="114">
        <f t="shared" si="10"/>
        <v>7535</v>
      </c>
      <c r="Q39" s="203">
        <f t="shared" si="3"/>
        <v>100</v>
      </c>
    </row>
    <row r="40" spans="2:17" ht="24" x14ac:dyDescent="0.2">
      <c r="B40" s="71">
        <f t="shared" si="8"/>
        <v>32</v>
      </c>
      <c r="C40" s="75"/>
      <c r="D40" s="75"/>
      <c r="E40" s="75"/>
      <c r="F40" s="76"/>
      <c r="G40" s="75"/>
      <c r="H40" s="120" t="s">
        <v>519</v>
      </c>
      <c r="I40" s="117"/>
      <c r="J40" s="117"/>
      <c r="K40" s="198"/>
      <c r="L40" s="117">
        <f>5000-1800+46</f>
        <v>3246</v>
      </c>
      <c r="M40" s="117">
        <v>3246</v>
      </c>
      <c r="N40" s="198">
        <f t="shared" si="7"/>
        <v>100</v>
      </c>
      <c r="O40" s="117">
        <f t="shared" si="9"/>
        <v>3246</v>
      </c>
      <c r="P40" s="117">
        <f t="shared" si="10"/>
        <v>3246</v>
      </c>
      <c r="Q40" s="203">
        <f t="shared" si="3"/>
        <v>100</v>
      </c>
    </row>
    <row r="41" spans="2:17" x14ac:dyDescent="0.2">
      <c r="B41" s="72">
        <f t="shared" si="8"/>
        <v>33</v>
      </c>
      <c r="C41" s="4"/>
      <c r="D41" s="4"/>
      <c r="E41" s="4"/>
      <c r="F41" s="53"/>
      <c r="G41" s="4"/>
      <c r="H41" s="115" t="s">
        <v>520</v>
      </c>
      <c r="I41" s="114"/>
      <c r="J41" s="114"/>
      <c r="K41" s="198"/>
      <c r="L41" s="114">
        <f>5000+1500+500-634</f>
        <v>6366</v>
      </c>
      <c r="M41" s="114">
        <v>6314</v>
      </c>
      <c r="N41" s="198">
        <f t="shared" si="7"/>
        <v>99.183160540370721</v>
      </c>
      <c r="O41" s="114">
        <f t="shared" si="9"/>
        <v>6366</v>
      </c>
      <c r="P41" s="114">
        <f t="shared" si="10"/>
        <v>6314</v>
      </c>
      <c r="Q41" s="203">
        <f t="shared" ref="Q41:Q72" si="11">P41/O41*100</f>
        <v>99.183160540370721</v>
      </c>
    </row>
    <row r="42" spans="2:17" ht="15" x14ac:dyDescent="0.25">
      <c r="B42" s="72">
        <f t="shared" si="8"/>
        <v>34</v>
      </c>
      <c r="C42" s="15"/>
      <c r="D42" s="15"/>
      <c r="E42" s="15">
        <v>2</v>
      </c>
      <c r="F42" s="50"/>
      <c r="G42" s="15"/>
      <c r="H42" s="15" t="s">
        <v>256</v>
      </c>
      <c r="I42" s="47">
        <f>I43+I44+I45+I51+I50</f>
        <v>97200</v>
      </c>
      <c r="J42" s="47">
        <f>J43+J44+J45+J51+J50</f>
        <v>83988</v>
      </c>
      <c r="K42" s="198">
        <f t="shared" ref="K42:K50" si="12">J42/I42*100</f>
        <v>86.407407407407405</v>
      </c>
      <c r="L42" s="47">
        <f>L43+L44+L45+L51</f>
        <v>6000</v>
      </c>
      <c r="M42" s="47">
        <f>M43+M44+M45+M51</f>
        <v>5995</v>
      </c>
      <c r="N42" s="198">
        <f t="shared" si="7"/>
        <v>99.916666666666671</v>
      </c>
      <c r="O42" s="47">
        <f t="shared" si="9"/>
        <v>103200</v>
      </c>
      <c r="P42" s="47">
        <f t="shared" si="10"/>
        <v>89983</v>
      </c>
      <c r="Q42" s="203">
        <f t="shared" si="11"/>
        <v>87.19282945736434</v>
      </c>
    </row>
    <row r="43" spans="2:17" x14ac:dyDescent="0.2">
      <c r="B43" s="72">
        <f t="shared" si="8"/>
        <v>35</v>
      </c>
      <c r="C43" s="12"/>
      <c r="D43" s="12"/>
      <c r="E43" s="12"/>
      <c r="F43" s="52" t="s">
        <v>217</v>
      </c>
      <c r="G43" s="12">
        <v>610</v>
      </c>
      <c r="H43" s="12" t="s">
        <v>135</v>
      </c>
      <c r="I43" s="49">
        <v>29300</v>
      </c>
      <c r="J43" s="49">
        <v>29300</v>
      </c>
      <c r="K43" s="198">
        <f t="shared" si="12"/>
        <v>100</v>
      </c>
      <c r="L43" s="49"/>
      <c r="M43" s="49"/>
      <c r="N43" s="198"/>
      <c r="O43" s="49">
        <f t="shared" si="9"/>
        <v>29300</v>
      </c>
      <c r="P43" s="49">
        <f t="shared" si="10"/>
        <v>29300</v>
      </c>
      <c r="Q43" s="203">
        <f t="shared" si="11"/>
        <v>100</v>
      </c>
    </row>
    <row r="44" spans="2:17" x14ac:dyDescent="0.2">
      <c r="B44" s="72">
        <f t="shared" si="8"/>
        <v>36</v>
      </c>
      <c r="C44" s="12"/>
      <c r="D44" s="12"/>
      <c r="E44" s="12"/>
      <c r="F44" s="52" t="s">
        <v>217</v>
      </c>
      <c r="G44" s="12">
        <v>620</v>
      </c>
      <c r="H44" s="12" t="s">
        <v>130</v>
      </c>
      <c r="I44" s="49">
        <v>15300</v>
      </c>
      <c r="J44" s="49">
        <v>12585</v>
      </c>
      <c r="K44" s="198">
        <f t="shared" si="12"/>
        <v>82.254901960784309</v>
      </c>
      <c r="L44" s="49"/>
      <c r="M44" s="49"/>
      <c r="N44" s="198"/>
      <c r="O44" s="49">
        <f t="shared" si="9"/>
        <v>15300</v>
      </c>
      <c r="P44" s="49">
        <f t="shared" si="10"/>
        <v>12585</v>
      </c>
      <c r="Q44" s="203">
        <f t="shared" si="11"/>
        <v>82.254901960784309</v>
      </c>
    </row>
    <row r="45" spans="2:17" x14ac:dyDescent="0.2">
      <c r="B45" s="72">
        <f t="shared" si="8"/>
        <v>37</v>
      </c>
      <c r="C45" s="12"/>
      <c r="D45" s="12"/>
      <c r="E45" s="12"/>
      <c r="F45" s="52" t="s">
        <v>217</v>
      </c>
      <c r="G45" s="12">
        <v>630</v>
      </c>
      <c r="H45" s="12" t="s">
        <v>127</v>
      </c>
      <c r="I45" s="49">
        <f>I49+I48+I47+I46</f>
        <v>52500</v>
      </c>
      <c r="J45" s="49">
        <f>J49+J48+J47+J46</f>
        <v>42034</v>
      </c>
      <c r="K45" s="198">
        <f t="shared" si="12"/>
        <v>80.064761904761909</v>
      </c>
      <c r="L45" s="49">
        <f>L49+L48+L47+L46</f>
        <v>0</v>
      </c>
      <c r="M45" s="49">
        <f>M49+M48+M47+M46</f>
        <v>0</v>
      </c>
      <c r="N45" s="198"/>
      <c r="O45" s="49">
        <f t="shared" si="9"/>
        <v>52500</v>
      </c>
      <c r="P45" s="49">
        <f t="shared" si="10"/>
        <v>42034</v>
      </c>
      <c r="Q45" s="203">
        <f t="shared" si="11"/>
        <v>80.064761904761909</v>
      </c>
    </row>
    <row r="46" spans="2:17" x14ac:dyDescent="0.2">
      <c r="B46" s="72">
        <f t="shared" si="8"/>
        <v>38</v>
      </c>
      <c r="C46" s="4"/>
      <c r="D46" s="4"/>
      <c r="E46" s="4"/>
      <c r="F46" s="53" t="s">
        <v>217</v>
      </c>
      <c r="G46" s="4">
        <v>633</v>
      </c>
      <c r="H46" s="4" t="s">
        <v>131</v>
      </c>
      <c r="I46" s="23">
        <f>14400+4000</f>
        <v>18400</v>
      </c>
      <c r="J46" s="23">
        <v>17769</v>
      </c>
      <c r="K46" s="198">
        <f t="shared" si="12"/>
        <v>96.570652173913047</v>
      </c>
      <c r="L46" s="23"/>
      <c r="M46" s="23"/>
      <c r="N46" s="198"/>
      <c r="O46" s="23">
        <f t="shared" si="9"/>
        <v>18400</v>
      </c>
      <c r="P46" s="23">
        <f t="shared" si="10"/>
        <v>17769</v>
      </c>
      <c r="Q46" s="203">
        <f t="shared" si="11"/>
        <v>96.570652173913047</v>
      </c>
    </row>
    <row r="47" spans="2:17" x14ac:dyDescent="0.2">
      <c r="B47" s="72">
        <f t="shared" si="8"/>
        <v>39</v>
      </c>
      <c r="C47" s="4"/>
      <c r="D47" s="4"/>
      <c r="E47" s="4"/>
      <c r="F47" s="53" t="s">
        <v>217</v>
      </c>
      <c r="G47" s="4">
        <v>634</v>
      </c>
      <c r="H47" s="4" t="s">
        <v>136</v>
      </c>
      <c r="I47" s="23">
        <v>6100</v>
      </c>
      <c r="J47" s="23">
        <v>3672</v>
      </c>
      <c r="K47" s="198">
        <f t="shared" si="12"/>
        <v>60.196721311475407</v>
      </c>
      <c r="L47" s="23"/>
      <c r="M47" s="23"/>
      <c r="N47" s="198"/>
      <c r="O47" s="23">
        <f t="shared" si="9"/>
        <v>6100</v>
      </c>
      <c r="P47" s="23">
        <f t="shared" si="10"/>
        <v>3672</v>
      </c>
      <c r="Q47" s="203">
        <f t="shared" si="11"/>
        <v>60.196721311475407</v>
      </c>
    </row>
    <row r="48" spans="2:17" x14ac:dyDescent="0.2">
      <c r="B48" s="72">
        <f t="shared" si="8"/>
        <v>40</v>
      </c>
      <c r="C48" s="4"/>
      <c r="D48" s="4"/>
      <c r="E48" s="4"/>
      <c r="F48" s="53" t="s">
        <v>217</v>
      </c>
      <c r="G48" s="4">
        <v>635</v>
      </c>
      <c r="H48" s="4" t="s">
        <v>137</v>
      </c>
      <c r="I48" s="23">
        <v>9000</v>
      </c>
      <c r="J48" s="23">
        <v>7747</v>
      </c>
      <c r="K48" s="198">
        <f t="shared" si="12"/>
        <v>86.077777777777769</v>
      </c>
      <c r="L48" s="23"/>
      <c r="M48" s="23"/>
      <c r="N48" s="198"/>
      <c r="O48" s="23">
        <f t="shared" si="9"/>
        <v>9000</v>
      </c>
      <c r="P48" s="23">
        <f t="shared" si="10"/>
        <v>7747</v>
      </c>
      <c r="Q48" s="203">
        <f t="shared" si="11"/>
        <v>86.077777777777769</v>
      </c>
    </row>
    <row r="49" spans="2:17" x14ac:dyDescent="0.2">
      <c r="B49" s="72">
        <f t="shared" si="8"/>
        <v>41</v>
      </c>
      <c r="C49" s="4"/>
      <c r="D49" s="4"/>
      <c r="E49" s="4"/>
      <c r="F49" s="53" t="s">
        <v>217</v>
      </c>
      <c r="G49" s="4">
        <v>637</v>
      </c>
      <c r="H49" s="4" t="s">
        <v>128</v>
      </c>
      <c r="I49" s="23">
        <f>25600-2500-100-4000</f>
        <v>19000</v>
      </c>
      <c r="J49" s="23">
        <v>12846</v>
      </c>
      <c r="K49" s="198">
        <f t="shared" si="12"/>
        <v>67.610526315789471</v>
      </c>
      <c r="L49" s="23"/>
      <c r="M49" s="23"/>
      <c r="N49" s="198"/>
      <c r="O49" s="23">
        <f t="shared" si="9"/>
        <v>19000</v>
      </c>
      <c r="P49" s="23">
        <f t="shared" si="10"/>
        <v>12846</v>
      </c>
      <c r="Q49" s="203">
        <f t="shared" si="11"/>
        <v>67.610526315789471</v>
      </c>
    </row>
    <row r="50" spans="2:17" x14ac:dyDescent="0.2">
      <c r="B50" s="72">
        <f t="shared" si="8"/>
        <v>42</v>
      </c>
      <c r="C50" s="4"/>
      <c r="D50" s="4"/>
      <c r="E50" s="4"/>
      <c r="F50" s="96" t="s">
        <v>217</v>
      </c>
      <c r="G50" s="3">
        <v>640</v>
      </c>
      <c r="H50" s="3" t="s">
        <v>134</v>
      </c>
      <c r="I50" s="22">
        <v>100</v>
      </c>
      <c r="J50" s="22">
        <v>69</v>
      </c>
      <c r="K50" s="198">
        <f t="shared" si="12"/>
        <v>69</v>
      </c>
      <c r="L50" s="22"/>
      <c r="M50" s="22"/>
      <c r="N50" s="198"/>
      <c r="O50" s="22">
        <f t="shared" si="9"/>
        <v>100</v>
      </c>
      <c r="P50" s="22">
        <f t="shared" si="10"/>
        <v>69</v>
      </c>
      <c r="Q50" s="203">
        <f t="shared" si="11"/>
        <v>69</v>
      </c>
    </row>
    <row r="51" spans="2:17" x14ac:dyDescent="0.2">
      <c r="B51" s="72">
        <f t="shared" si="8"/>
        <v>43</v>
      </c>
      <c r="C51" s="12"/>
      <c r="D51" s="12"/>
      <c r="E51" s="12"/>
      <c r="F51" s="52" t="s">
        <v>217</v>
      </c>
      <c r="G51" s="12">
        <v>710</v>
      </c>
      <c r="H51" s="12" t="s">
        <v>183</v>
      </c>
      <c r="I51" s="49">
        <f>I52</f>
        <v>0</v>
      </c>
      <c r="J51" s="49">
        <f>J52</f>
        <v>0</v>
      </c>
      <c r="K51" s="198"/>
      <c r="L51" s="49">
        <f>L52</f>
        <v>6000</v>
      </c>
      <c r="M51" s="49">
        <f>M52</f>
        <v>5995</v>
      </c>
      <c r="N51" s="198">
        <f>M51/L51*100</f>
        <v>99.916666666666671</v>
      </c>
      <c r="O51" s="49">
        <f t="shared" si="9"/>
        <v>6000</v>
      </c>
      <c r="P51" s="49">
        <f t="shared" si="10"/>
        <v>5995</v>
      </c>
      <c r="Q51" s="203">
        <f t="shared" si="11"/>
        <v>99.916666666666671</v>
      </c>
    </row>
    <row r="52" spans="2:17" x14ac:dyDescent="0.2">
      <c r="B52" s="72">
        <f t="shared" si="8"/>
        <v>44</v>
      </c>
      <c r="C52" s="4"/>
      <c r="D52" s="4"/>
      <c r="E52" s="4"/>
      <c r="F52" s="82" t="s">
        <v>217</v>
      </c>
      <c r="G52" s="83">
        <v>713</v>
      </c>
      <c r="H52" s="83" t="s">
        <v>4</v>
      </c>
      <c r="I52" s="84"/>
      <c r="J52" s="84"/>
      <c r="K52" s="198"/>
      <c r="L52" s="84">
        <f>L53</f>
        <v>6000</v>
      </c>
      <c r="M52" s="84">
        <f>M53</f>
        <v>5995</v>
      </c>
      <c r="N52" s="198">
        <f>M52/L52*100</f>
        <v>99.916666666666671</v>
      </c>
      <c r="O52" s="84">
        <f t="shared" si="9"/>
        <v>6000</v>
      </c>
      <c r="P52" s="84">
        <f t="shared" si="10"/>
        <v>5995</v>
      </c>
      <c r="Q52" s="203">
        <f t="shared" si="11"/>
        <v>99.916666666666671</v>
      </c>
    </row>
    <row r="53" spans="2:17" x14ac:dyDescent="0.2">
      <c r="B53" s="72">
        <f t="shared" si="8"/>
        <v>45</v>
      </c>
      <c r="C53" s="4"/>
      <c r="D53" s="55"/>
      <c r="E53" s="4"/>
      <c r="F53" s="53"/>
      <c r="G53" s="4"/>
      <c r="H53" s="35" t="s">
        <v>377</v>
      </c>
      <c r="I53" s="23"/>
      <c r="J53" s="23"/>
      <c r="K53" s="198"/>
      <c r="L53" s="23">
        <v>6000</v>
      </c>
      <c r="M53" s="23">
        <v>5995</v>
      </c>
      <c r="N53" s="198">
        <f>M53/L53*100</f>
        <v>99.916666666666671</v>
      </c>
      <c r="O53" s="23">
        <f t="shared" si="9"/>
        <v>6000</v>
      </c>
      <c r="P53" s="23">
        <f t="shared" si="10"/>
        <v>5995</v>
      </c>
      <c r="Q53" s="203">
        <f t="shared" si="11"/>
        <v>99.916666666666671</v>
      </c>
    </row>
    <row r="54" spans="2:17" ht="15" x14ac:dyDescent="0.2">
      <c r="B54" s="72">
        <f t="shared" si="8"/>
        <v>46</v>
      </c>
      <c r="C54" s="179">
        <v>3</v>
      </c>
      <c r="D54" s="257" t="s">
        <v>14</v>
      </c>
      <c r="E54" s="253"/>
      <c r="F54" s="253"/>
      <c r="G54" s="253"/>
      <c r="H54" s="254"/>
      <c r="I54" s="45">
        <f>I55+I57</f>
        <v>8000</v>
      </c>
      <c r="J54" s="45">
        <f>J55+J57</f>
        <v>6442</v>
      </c>
      <c r="K54" s="198">
        <f>J54/I54*100</f>
        <v>80.525000000000006</v>
      </c>
      <c r="L54" s="45">
        <f>L55+L57+L60</f>
        <v>2377</v>
      </c>
      <c r="M54" s="45">
        <f>M55+M57+M60</f>
        <v>1128</v>
      </c>
      <c r="N54" s="198">
        <f>M54/L54*100</f>
        <v>47.454774926377787</v>
      </c>
      <c r="O54" s="45">
        <f t="shared" si="9"/>
        <v>10377</v>
      </c>
      <c r="P54" s="45">
        <f t="shared" si="10"/>
        <v>7570</v>
      </c>
      <c r="Q54" s="203">
        <f t="shared" si="11"/>
        <v>72.949792811024381</v>
      </c>
    </row>
    <row r="55" spans="2:17" x14ac:dyDescent="0.2">
      <c r="B55" s="72">
        <f t="shared" si="8"/>
        <v>47</v>
      </c>
      <c r="C55" s="12"/>
      <c r="D55" s="12"/>
      <c r="E55" s="12"/>
      <c r="F55" s="52" t="s">
        <v>204</v>
      </c>
      <c r="G55" s="12">
        <v>630</v>
      </c>
      <c r="H55" s="12" t="s">
        <v>127</v>
      </c>
      <c r="I55" s="49">
        <f>I56</f>
        <v>8000</v>
      </c>
      <c r="J55" s="49">
        <f>J56</f>
        <v>6442</v>
      </c>
      <c r="K55" s="198">
        <f>J55/I55*100</f>
        <v>80.525000000000006</v>
      </c>
      <c r="L55" s="49">
        <f>L56</f>
        <v>0</v>
      </c>
      <c r="M55" s="49">
        <f>M56</f>
        <v>0</v>
      </c>
      <c r="N55" s="198"/>
      <c r="O55" s="49">
        <f t="shared" si="9"/>
        <v>8000</v>
      </c>
      <c r="P55" s="49">
        <f t="shared" si="10"/>
        <v>6442</v>
      </c>
      <c r="Q55" s="203">
        <f t="shared" si="11"/>
        <v>80.525000000000006</v>
      </c>
    </row>
    <row r="56" spans="2:17" x14ac:dyDescent="0.2">
      <c r="B56" s="72">
        <f t="shared" si="8"/>
        <v>48</v>
      </c>
      <c r="C56" s="4"/>
      <c r="D56" s="4"/>
      <c r="E56" s="4"/>
      <c r="F56" s="53" t="s">
        <v>204</v>
      </c>
      <c r="G56" s="4">
        <v>635</v>
      </c>
      <c r="H56" s="4" t="s">
        <v>137</v>
      </c>
      <c r="I56" s="23">
        <f>5000+3000</f>
        <v>8000</v>
      </c>
      <c r="J56" s="23">
        <v>6442</v>
      </c>
      <c r="K56" s="198">
        <f>J56/I56*100</f>
        <v>80.525000000000006</v>
      </c>
      <c r="L56" s="23"/>
      <c r="M56" s="23"/>
      <c r="N56" s="198"/>
      <c r="O56" s="23">
        <f t="shared" si="9"/>
        <v>8000</v>
      </c>
      <c r="P56" s="23">
        <f t="shared" si="10"/>
        <v>6442</v>
      </c>
      <c r="Q56" s="203">
        <f t="shared" si="11"/>
        <v>80.525000000000006</v>
      </c>
    </row>
    <row r="57" spans="2:17" x14ac:dyDescent="0.2">
      <c r="B57" s="72">
        <f t="shared" si="8"/>
        <v>49</v>
      </c>
      <c r="C57" s="12"/>
      <c r="D57" s="12"/>
      <c r="E57" s="12"/>
      <c r="F57" s="52" t="s">
        <v>204</v>
      </c>
      <c r="G57" s="12">
        <v>710</v>
      </c>
      <c r="H57" s="12" t="s">
        <v>183</v>
      </c>
      <c r="I57" s="49">
        <f>I58</f>
        <v>0</v>
      </c>
      <c r="J57" s="49">
        <f>J58</f>
        <v>0</v>
      </c>
      <c r="K57" s="198"/>
      <c r="L57" s="49">
        <f>L58</f>
        <v>2000</v>
      </c>
      <c r="M57" s="49">
        <f>M58</f>
        <v>751</v>
      </c>
      <c r="N57" s="198">
        <f>M57/L57*100</f>
        <v>37.549999999999997</v>
      </c>
      <c r="O57" s="49">
        <f t="shared" si="9"/>
        <v>2000</v>
      </c>
      <c r="P57" s="49">
        <f t="shared" si="10"/>
        <v>751</v>
      </c>
      <c r="Q57" s="203">
        <f t="shared" si="11"/>
        <v>37.549999999999997</v>
      </c>
    </row>
    <row r="58" spans="2:17" x14ac:dyDescent="0.2">
      <c r="B58" s="72">
        <f t="shared" si="8"/>
        <v>50</v>
      </c>
      <c r="C58" s="4"/>
      <c r="D58" s="4"/>
      <c r="E58" s="4"/>
      <c r="F58" s="82" t="s">
        <v>204</v>
      </c>
      <c r="G58" s="83">
        <v>713</v>
      </c>
      <c r="H58" s="83" t="s">
        <v>4</v>
      </c>
      <c r="I58" s="84"/>
      <c r="J58" s="84"/>
      <c r="K58" s="198"/>
      <c r="L58" s="84">
        <f>L59</f>
        <v>2000</v>
      </c>
      <c r="M58" s="84">
        <f>M59</f>
        <v>751</v>
      </c>
      <c r="N58" s="198">
        <f>M58/L58*100</f>
        <v>37.549999999999997</v>
      </c>
      <c r="O58" s="84">
        <f t="shared" si="9"/>
        <v>2000</v>
      </c>
      <c r="P58" s="84">
        <f t="shared" si="10"/>
        <v>751</v>
      </c>
      <c r="Q58" s="203">
        <f t="shared" si="11"/>
        <v>37.549999999999997</v>
      </c>
    </row>
    <row r="59" spans="2:17" x14ac:dyDescent="0.2">
      <c r="B59" s="72">
        <f t="shared" si="8"/>
        <v>51</v>
      </c>
      <c r="C59" s="4"/>
      <c r="D59" s="55"/>
      <c r="E59" s="4"/>
      <c r="F59" s="53"/>
      <c r="G59" s="4"/>
      <c r="H59" s="4" t="s">
        <v>366</v>
      </c>
      <c r="I59" s="23"/>
      <c r="J59" s="23"/>
      <c r="K59" s="198"/>
      <c r="L59" s="23">
        <f>5000-3000</f>
        <v>2000</v>
      </c>
      <c r="M59" s="23">
        <v>751</v>
      </c>
      <c r="N59" s="198">
        <f>M59/L59*100</f>
        <v>37.549999999999997</v>
      </c>
      <c r="O59" s="23">
        <f t="shared" si="9"/>
        <v>2000</v>
      </c>
      <c r="P59" s="23">
        <f t="shared" si="10"/>
        <v>751</v>
      </c>
      <c r="Q59" s="203">
        <f t="shared" si="11"/>
        <v>37.549999999999997</v>
      </c>
    </row>
    <row r="60" spans="2:17" x14ac:dyDescent="0.2">
      <c r="B60" s="72">
        <f t="shared" si="8"/>
        <v>52</v>
      </c>
      <c r="C60" s="4"/>
      <c r="D60" s="55"/>
      <c r="E60" s="4"/>
      <c r="F60" s="82" t="s">
        <v>204</v>
      </c>
      <c r="G60" s="83">
        <v>719</v>
      </c>
      <c r="H60" s="83" t="s">
        <v>584</v>
      </c>
      <c r="I60" s="84"/>
      <c r="J60" s="84"/>
      <c r="K60" s="198"/>
      <c r="L60" s="84">
        <f>L61</f>
        <v>377</v>
      </c>
      <c r="M60" s="84">
        <f>M61</f>
        <v>377</v>
      </c>
      <c r="N60" s="198">
        <f>M60/L60*100</f>
        <v>100</v>
      </c>
      <c r="O60" s="84">
        <f t="shared" si="9"/>
        <v>377</v>
      </c>
      <c r="P60" s="84">
        <f t="shared" si="10"/>
        <v>377</v>
      </c>
      <c r="Q60" s="203">
        <f t="shared" si="11"/>
        <v>100</v>
      </c>
    </row>
    <row r="61" spans="2:17" x14ac:dyDescent="0.2">
      <c r="B61" s="72">
        <f t="shared" si="8"/>
        <v>53</v>
      </c>
      <c r="C61" s="4"/>
      <c r="D61" s="55"/>
      <c r="E61" s="4"/>
      <c r="F61" s="53"/>
      <c r="G61" s="4"/>
      <c r="H61" s="4" t="s">
        <v>585</v>
      </c>
      <c r="I61" s="23"/>
      <c r="J61" s="23"/>
      <c r="K61" s="198"/>
      <c r="L61" s="23">
        <v>377</v>
      </c>
      <c r="M61" s="23">
        <v>377</v>
      </c>
      <c r="N61" s="198">
        <f>M61/L61*100</f>
        <v>100</v>
      </c>
      <c r="O61" s="23">
        <f t="shared" si="9"/>
        <v>377</v>
      </c>
      <c r="P61" s="23">
        <f t="shared" si="10"/>
        <v>377</v>
      </c>
      <c r="Q61" s="203">
        <f t="shared" si="11"/>
        <v>100</v>
      </c>
    </row>
    <row r="62" spans="2:17" ht="15" x14ac:dyDescent="0.2">
      <c r="B62" s="72">
        <f t="shared" si="8"/>
        <v>54</v>
      </c>
      <c r="C62" s="179">
        <v>4</v>
      </c>
      <c r="D62" s="257" t="s">
        <v>162</v>
      </c>
      <c r="E62" s="253"/>
      <c r="F62" s="253"/>
      <c r="G62" s="253"/>
      <c r="H62" s="254"/>
      <c r="I62" s="45">
        <f>I63</f>
        <v>7000</v>
      </c>
      <c r="J62" s="45">
        <f>J63</f>
        <v>6600</v>
      </c>
      <c r="K62" s="198">
        <f t="shared" ref="K62:K75" si="13">J62/I62*100</f>
        <v>94.285714285714278</v>
      </c>
      <c r="L62" s="45">
        <f>L63</f>
        <v>0</v>
      </c>
      <c r="M62" s="45">
        <f>M63</f>
        <v>0</v>
      </c>
      <c r="N62" s="198"/>
      <c r="O62" s="45">
        <f t="shared" si="9"/>
        <v>7000</v>
      </c>
      <c r="P62" s="45">
        <f t="shared" si="10"/>
        <v>6600</v>
      </c>
      <c r="Q62" s="203">
        <f t="shared" si="11"/>
        <v>94.285714285714278</v>
      </c>
    </row>
    <row r="63" spans="2:17" x14ac:dyDescent="0.2">
      <c r="B63" s="72">
        <f t="shared" si="8"/>
        <v>55</v>
      </c>
      <c r="C63" s="12"/>
      <c r="D63" s="12"/>
      <c r="E63" s="12"/>
      <c r="F63" s="52" t="s">
        <v>161</v>
      </c>
      <c r="G63" s="12">
        <v>630</v>
      </c>
      <c r="H63" s="12" t="s">
        <v>127</v>
      </c>
      <c r="I63" s="49">
        <f>I64</f>
        <v>7000</v>
      </c>
      <c r="J63" s="49">
        <f>J64</f>
        <v>6600</v>
      </c>
      <c r="K63" s="198">
        <f t="shared" si="13"/>
        <v>94.285714285714278</v>
      </c>
      <c r="L63" s="49">
        <v>0</v>
      </c>
      <c r="M63" s="49"/>
      <c r="N63" s="198"/>
      <c r="O63" s="49">
        <f t="shared" si="9"/>
        <v>7000</v>
      </c>
      <c r="P63" s="49">
        <f t="shared" si="10"/>
        <v>6600</v>
      </c>
      <c r="Q63" s="203">
        <f t="shared" si="11"/>
        <v>94.285714285714278</v>
      </c>
    </row>
    <row r="64" spans="2:17" x14ac:dyDescent="0.2">
      <c r="B64" s="72">
        <f t="shared" si="8"/>
        <v>56</v>
      </c>
      <c r="C64" s="4"/>
      <c r="D64" s="4"/>
      <c r="E64" s="4"/>
      <c r="F64" s="53" t="s">
        <v>161</v>
      </c>
      <c r="G64" s="4">
        <v>637</v>
      </c>
      <c r="H64" s="4" t="s">
        <v>128</v>
      </c>
      <c r="I64" s="23">
        <v>7000</v>
      </c>
      <c r="J64" s="23">
        <v>6600</v>
      </c>
      <c r="K64" s="198">
        <f t="shared" si="13"/>
        <v>94.285714285714278</v>
      </c>
      <c r="L64" s="23"/>
      <c r="M64" s="23"/>
      <c r="N64" s="198"/>
      <c r="O64" s="23">
        <f t="shared" si="9"/>
        <v>7000</v>
      </c>
      <c r="P64" s="23">
        <f t="shared" si="10"/>
        <v>6600</v>
      </c>
      <c r="Q64" s="203">
        <f t="shared" si="11"/>
        <v>94.285714285714278</v>
      </c>
    </row>
    <row r="65" spans="2:17" ht="15" x14ac:dyDescent="0.2">
      <c r="B65" s="72">
        <f t="shared" si="8"/>
        <v>57</v>
      </c>
      <c r="C65" s="179">
        <v>5</v>
      </c>
      <c r="D65" s="257" t="s">
        <v>152</v>
      </c>
      <c r="E65" s="253"/>
      <c r="F65" s="253"/>
      <c r="G65" s="253"/>
      <c r="H65" s="254"/>
      <c r="I65" s="45">
        <f>I66+I72</f>
        <v>22600</v>
      </c>
      <c r="J65" s="45">
        <f>J66+J72</f>
        <v>18804</v>
      </c>
      <c r="K65" s="198">
        <f t="shared" si="13"/>
        <v>83.203539823008853</v>
      </c>
      <c r="L65" s="45">
        <f>L76+L81</f>
        <v>16050</v>
      </c>
      <c r="M65" s="45">
        <f>M76+M81</f>
        <v>16027</v>
      </c>
      <c r="N65" s="198">
        <f>M65/L65*100</f>
        <v>99.856697819314647</v>
      </c>
      <c r="O65" s="45">
        <f t="shared" si="9"/>
        <v>38650</v>
      </c>
      <c r="P65" s="45">
        <f t="shared" si="10"/>
        <v>34831</v>
      </c>
      <c r="Q65" s="203">
        <f t="shared" si="11"/>
        <v>90.119016817593788</v>
      </c>
    </row>
    <row r="66" spans="2:17" x14ac:dyDescent="0.2">
      <c r="B66" s="72">
        <f t="shared" ref="B66:B83" si="14">B65+1</f>
        <v>58</v>
      </c>
      <c r="C66" s="12"/>
      <c r="D66" s="12"/>
      <c r="E66" s="12"/>
      <c r="F66" s="52" t="s">
        <v>151</v>
      </c>
      <c r="G66" s="12">
        <v>630</v>
      </c>
      <c r="H66" s="12" t="s">
        <v>127</v>
      </c>
      <c r="I66" s="49">
        <f>I71+I70+I67+I68+I69</f>
        <v>13600</v>
      </c>
      <c r="J66" s="49">
        <f>J71+J70+J67+J68+J69</f>
        <v>9804</v>
      </c>
      <c r="K66" s="198">
        <f t="shared" si="13"/>
        <v>72.088235294117638</v>
      </c>
      <c r="L66" s="49">
        <f>L71+L70</f>
        <v>0</v>
      </c>
      <c r="M66" s="49">
        <f>M71+M70</f>
        <v>0</v>
      </c>
      <c r="N66" s="198"/>
      <c r="O66" s="49">
        <f t="shared" si="9"/>
        <v>13600</v>
      </c>
      <c r="P66" s="49">
        <f t="shared" si="10"/>
        <v>9804</v>
      </c>
      <c r="Q66" s="203">
        <f t="shared" si="11"/>
        <v>72.088235294117638</v>
      </c>
    </row>
    <row r="67" spans="2:17" x14ac:dyDescent="0.2">
      <c r="B67" s="72">
        <f t="shared" si="14"/>
        <v>59</v>
      </c>
      <c r="C67" s="12"/>
      <c r="D67" s="12"/>
      <c r="E67" s="12"/>
      <c r="F67" s="53" t="s">
        <v>151</v>
      </c>
      <c r="G67" s="4">
        <v>633</v>
      </c>
      <c r="H67" s="4" t="s">
        <v>131</v>
      </c>
      <c r="I67" s="23">
        <v>500</v>
      </c>
      <c r="J67" s="23">
        <v>0</v>
      </c>
      <c r="K67" s="198">
        <f t="shared" si="13"/>
        <v>0</v>
      </c>
      <c r="L67" s="23"/>
      <c r="M67" s="23"/>
      <c r="N67" s="198"/>
      <c r="O67" s="23">
        <f t="shared" si="9"/>
        <v>500</v>
      </c>
      <c r="P67" s="23">
        <f t="shared" si="10"/>
        <v>0</v>
      </c>
      <c r="Q67" s="203">
        <f t="shared" si="11"/>
        <v>0</v>
      </c>
    </row>
    <row r="68" spans="2:17" x14ac:dyDescent="0.2">
      <c r="B68" s="72">
        <f t="shared" si="14"/>
        <v>60</v>
      </c>
      <c r="C68" s="12"/>
      <c r="D68" s="12"/>
      <c r="E68" s="12"/>
      <c r="F68" s="53" t="s">
        <v>151</v>
      </c>
      <c r="G68" s="4">
        <v>633</v>
      </c>
      <c r="H68" s="4" t="s">
        <v>581</v>
      </c>
      <c r="I68" s="23">
        <v>2000</v>
      </c>
      <c r="J68" s="23">
        <v>2000</v>
      </c>
      <c r="K68" s="198">
        <f t="shared" si="13"/>
        <v>100</v>
      </c>
      <c r="L68" s="23"/>
      <c r="M68" s="23"/>
      <c r="N68" s="198"/>
      <c r="O68" s="23">
        <f t="shared" si="9"/>
        <v>2000</v>
      </c>
      <c r="P68" s="23">
        <f t="shared" si="10"/>
        <v>2000</v>
      </c>
      <c r="Q68" s="203">
        <f t="shared" si="11"/>
        <v>100</v>
      </c>
    </row>
    <row r="69" spans="2:17" x14ac:dyDescent="0.2">
      <c r="B69" s="72">
        <f t="shared" si="14"/>
        <v>61</v>
      </c>
      <c r="C69" s="12"/>
      <c r="D69" s="12"/>
      <c r="E69" s="12"/>
      <c r="F69" s="53" t="s">
        <v>151</v>
      </c>
      <c r="G69" s="4">
        <v>633</v>
      </c>
      <c r="H69" s="4" t="s">
        <v>631</v>
      </c>
      <c r="I69" s="23">
        <v>700</v>
      </c>
      <c r="J69" s="23">
        <v>700</v>
      </c>
      <c r="K69" s="198">
        <f t="shared" si="13"/>
        <v>100</v>
      </c>
      <c r="L69" s="23"/>
      <c r="M69" s="23"/>
      <c r="N69" s="198"/>
      <c r="O69" s="23">
        <f t="shared" si="9"/>
        <v>700</v>
      </c>
      <c r="P69" s="23">
        <f t="shared" si="10"/>
        <v>700</v>
      </c>
      <c r="Q69" s="203">
        <f t="shared" si="11"/>
        <v>100</v>
      </c>
    </row>
    <row r="70" spans="2:17" x14ac:dyDescent="0.2">
      <c r="B70" s="72">
        <f t="shared" si="14"/>
        <v>62</v>
      </c>
      <c r="C70" s="4"/>
      <c r="D70" s="4"/>
      <c r="E70" s="4"/>
      <c r="F70" s="53" t="s">
        <v>151</v>
      </c>
      <c r="G70" s="4">
        <v>634</v>
      </c>
      <c r="H70" s="4" t="s">
        <v>136</v>
      </c>
      <c r="I70" s="23">
        <f>480+1700</f>
        <v>2180</v>
      </c>
      <c r="J70" s="23">
        <v>2180</v>
      </c>
      <c r="K70" s="198">
        <f t="shared" si="13"/>
        <v>100</v>
      </c>
      <c r="L70" s="23"/>
      <c r="M70" s="23"/>
      <c r="N70" s="198"/>
      <c r="O70" s="23">
        <f t="shared" si="9"/>
        <v>2180</v>
      </c>
      <c r="P70" s="23">
        <f t="shared" si="10"/>
        <v>2180</v>
      </c>
      <c r="Q70" s="203">
        <f t="shared" si="11"/>
        <v>100</v>
      </c>
    </row>
    <row r="71" spans="2:17" x14ac:dyDescent="0.2">
      <c r="B71" s="72">
        <f t="shared" si="14"/>
        <v>63</v>
      </c>
      <c r="C71" s="4"/>
      <c r="D71" s="4"/>
      <c r="E71" s="4"/>
      <c r="F71" s="53" t="s">
        <v>151</v>
      </c>
      <c r="G71" s="4">
        <v>637</v>
      </c>
      <c r="H71" s="4" t="s">
        <v>128</v>
      </c>
      <c r="I71" s="23">
        <f>8720-500</f>
        <v>8220</v>
      </c>
      <c r="J71" s="23">
        <v>4924</v>
      </c>
      <c r="K71" s="198">
        <f t="shared" si="13"/>
        <v>59.902676399026767</v>
      </c>
      <c r="L71" s="23"/>
      <c r="M71" s="23"/>
      <c r="N71" s="198"/>
      <c r="O71" s="23">
        <f t="shared" si="9"/>
        <v>8220</v>
      </c>
      <c r="P71" s="23">
        <f t="shared" si="10"/>
        <v>4924</v>
      </c>
      <c r="Q71" s="203">
        <f t="shared" si="11"/>
        <v>59.902676399026767</v>
      </c>
    </row>
    <row r="72" spans="2:17" x14ac:dyDescent="0.2">
      <c r="B72" s="72">
        <f t="shared" si="14"/>
        <v>64</v>
      </c>
      <c r="C72" s="12"/>
      <c r="D72" s="12"/>
      <c r="E72" s="12"/>
      <c r="F72" s="52" t="s">
        <v>151</v>
      </c>
      <c r="G72" s="12">
        <v>640</v>
      </c>
      <c r="H72" s="12" t="s">
        <v>134</v>
      </c>
      <c r="I72" s="49">
        <f>SUM(I73:I75)</f>
        <v>9000</v>
      </c>
      <c r="J72" s="49">
        <f>SUM(J73:J75)</f>
        <v>9000</v>
      </c>
      <c r="K72" s="198">
        <f t="shared" si="13"/>
        <v>100</v>
      </c>
      <c r="L72" s="49"/>
      <c r="M72" s="49"/>
      <c r="N72" s="198"/>
      <c r="O72" s="23">
        <f t="shared" si="9"/>
        <v>9000</v>
      </c>
      <c r="P72" s="23">
        <f t="shared" si="10"/>
        <v>9000</v>
      </c>
      <c r="Q72" s="203">
        <f t="shared" si="11"/>
        <v>100</v>
      </c>
    </row>
    <row r="73" spans="2:17" x14ac:dyDescent="0.2">
      <c r="B73" s="72">
        <f t="shared" si="14"/>
        <v>65</v>
      </c>
      <c r="C73" s="12"/>
      <c r="D73" s="12"/>
      <c r="E73" s="12"/>
      <c r="F73" s="52"/>
      <c r="G73" s="12"/>
      <c r="H73" s="60" t="s">
        <v>455</v>
      </c>
      <c r="I73" s="58">
        <v>4000</v>
      </c>
      <c r="J73" s="58">
        <v>4000</v>
      </c>
      <c r="K73" s="198">
        <f t="shared" si="13"/>
        <v>100</v>
      </c>
      <c r="L73" s="58"/>
      <c r="M73" s="58"/>
      <c r="N73" s="198"/>
      <c r="O73" s="58">
        <f t="shared" si="9"/>
        <v>4000</v>
      </c>
      <c r="P73" s="58">
        <f t="shared" si="10"/>
        <v>4000</v>
      </c>
      <c r="Q73" s="203">
        <f t="shared" ref="Q73:Q83" si="15">P73/O73*100</f>
        <v>100</v>
      </c>
    </row>
    <row r="74" spans="2:17" x14ac:dyDescent="0.2">
      <c r="B74" s="72">
        <f t="shared" si="14"/>
        <v>66</v>
      </c>
      <c r="C74" s="12"/>
      <c r="D74" s="12"/>
      <c r="E74" s="12"/>
      <c r="F74" s="52"/>
      <c r="G74" s="12"/>
      <c r="H74" s="60" t="s">
        <v>456</v>
      </c>
      <c r="I74" s="58">
        <v>4000</v>
      </c>
      <c r="J74" s="58">
        <v>4000</v>
      </c>
      <c r="K74" s="198">
        <f t="shared" si="13"/>
        <v>100</v>
      </c>
      <c r="L74" s="58"/>
      <c r="M74" s="58"/>
      <c r="N74" s="198"/>
      <c r="O74" s="58">
        <f t="shared" si="9"/>
        <v>4000</v>
      </c>
      <c r="P74" s="58">
        <f t="shared" si="10"/>
        <v>4000</v>
      </c>
      <c r="Q74" s="203">
        <f t="shared" si="15"/>
        <v>100</v>
      </c>
    </row>
    <row r="75" spans="2:17" x14ac:dyDescent="0.2">
      <c r="B75" s="72">
        <f t="shared" si="14"/>
        <v>67</v>
      </c>
      <c r="C75" s="12"/>
      <c r="D75" s="12"/>
      <c r="E75" s="12"/>
      <c r="F75" s="52"/>
      <c r="G75" s="12"/>
      <c r="H75" s="60" t="s">
        <v>457</v>
      </c>
      <c r="I75" s="58">
        <v>1000</v>
      </c>
      <c r="J75" s="58">
        <v>1000</v>
      </c>
      <c r="K75" s="198">
        <f t="shared" si="13"/>
        <v>100</v>
      </c>
      <c r="L75" s="58"/>
      <c r="M75" s="58"/>
      <c r="N75" s="198"/>
      <c r="O75" s="58">
        <f t="shared" si="9"/>
        <v>1000</v>
      </c>
      <c r="P75" s="58">
        <f t="shared" si="10"/>
        <v>1000</v>
      </c>
      <c r="Q75" s="203">
        <f t="shared" si="15"/>
        <v>100</v>
      </c>
    </row>
    <row r="76" spans="2:17" x14ac:dyDescent="0.2">
      <c r="B76" s="72">
        <f t="shared" si="14"/>
        <v>68</v>
      </c>
      <c r="C76" s="12"/>
      <c r="D76" s="12"/>
      <c r="E76" s="12"/>
      <c r="F76" s="52" t="s">
        <v>151</v>
      </c>
      <c r="G76" s="12">
        <v>710</v>
      </c>
      <c r="H76" s="12" t="s">
        <v>183</v>
      </c>
      <c r="I76" s="49">
        <f>I77</f>
        <v>0</v>
      </c>
      <c r="J76" s="49">
        <f>J77</f>
        <v>0</v>
      </c>
      <c r="K76" s="198"/>
      <c r="L76" s="49">
        <f>L77+L79</f>
        <v>1050</v>
      </c>
      <c r="M76" s="49">
        <f>M77+M79</f>
        <v>1027</v>
      </c>
      <c r="N76" s="198">
        <f t="shared" ref="N76:N83" si="16">M76/L76*100</f>
        <v>97.80952380952381</v>
      </c>
      <c r="O76" s="49">
        <f t="shared" si="9"/>
        <v>1050</v>
      </c>
      <c r="P76" s="49">
        <f t="shared" si="10"/>
        <v>1027</v>
      </c>
      <c r="Q76" s="203">
        <f t="shared" si="15"/>
        <v>97.80952380952381</v>
      </c>
    </row>
    <row r="77" spans="2:17" x14ac:dyDescent="0.2">
      <c r="B77" s="72">
        <f t="shared" si="14"/>
        <v>69</v>
      </c>
      <c r="C77" s="12"/>
      <c r="D77" s="12"/>
      <c r="E77" s="12"/>
      <c r="F77" s="82" t="s">
        <v>151</v>
      </c>
      <c r="G77" s="83">
        <v>716</v>
      </c>
      <c r="H77" s="83" t="s">
        <v>0</v>
      </c>
      <c r="I77" s="84"/>
      <c r="J77" s="84"/>
      <c r="K77" s="198"/>
      <c r="L77" s="84">
        <f>L78</f>
        <v>700</v>
      </c>
      <c r="M77" s="84">
        <f>M78</f>
        <v>700</v>
      </c>
      <c r="N77" s="198">
        <f t="shared" si="16"/>
        <v>100</v>
      </c>
      <c r="O77" s="84">
        <f t="shared" si="9"/>
        <v>700</v>
      </c>
      <c r="P77" s="84">
        <f t="shared" si="10"/>
        <v>700</v>
      </c>
      <c r="Q77" s="203">
        <f t="shared" si="15"/>
        <v>100</v>
      </c>
    </row>
    <row r="78" spans="2:17" x14ac:dyDescent="0.2">
      <c r="B78" s="72">
        <f t="shared" si="14"/>
        <v>70</v>
      </c>
      <c r="C78" s="12"/>
      <c r="D78" s="12"/>
      <c r="E78" s="12"/>
      <c r="F78" s="52"/>
      <c r="G78" s="12"/>
      <c r="H78" s="60" t="s">
        <v>495</v>
      </c>
      <c r="I78" s="58"/>
      <c r="J78" s="58"/>
      <c r="K78" s="198"/>
      <c r="L78" s="58">
        <v>700</v>
      </c>
      <c r="M78" s="58">
        <v>700</v>
      </c>
      <c r="N78" s="198">
        <f t="shared" si="16"/>
        <v>100</v>
      </c>
      <c r="O78" s="58">
        <f>L78</f>
        <v>700</v>
      </c>
      <c r="P78" s="58">
        <f>M78</f>
        <v>700</v>
      </c>
      <c r="Q78" s="203">
        <f t="shared" si="15"/>
        <v>100</v>
      </c>
    </row>
    <row r="79" spans="2:17" x14ac:dyDescent="0.2">
      <c r="B79" s="72">
        <f t="shared" si="14"/>
        <v>71</v>
      </c>
      <c r="C79" s="12"/>
      <c r="D79" s="12"/>
      <c r="E79" s="12"/>
      <c r="F79" s="82" t="s">
        <v>151</v>
      </c>
      <c r="G79" s="83">
        <v>717</v>
      </c>
      <c r="H79" s="83" t="s">
        <v>193</v>
      </c>
      <c r="I79" s="84"/>
      <c r="J79" s="84"/>
      <c r="K79" s="198"/>
      <c r="L79" s="84">
        <f>L80</f>
        <v>350</v>
      </c>
      <c r="M79" s="84">
        <f>M80</f>
        <v>327</v>
      </c>
      <c r="N79" s="198">
        <f t="shared" si="16"/>
        <v>93.428571428571431</v>
      </c>
      <c r="O79" s="84">
        <f>I79+L79</f>
        <v>350</v>
      </c>
      <c r="P79" s="84">
        <f>J79+M79</f>
        <v>327</v>
      </c>
      <c r="Q79" s="203">
        <f t="shared" si="15"/>
        <v>93.428571428571431</v>
      </c>
    </row>
    <row r="80" spans="2:17" x14ac:dyDescent="0.2">
      <c r="B80" s="72">
        <f t="shared" si="14"/>
        <v>72</v>
      </c>
      <c r="C80" s="12"/>
      <c r="D80" s="12"/>
      <c r="E80" s="12"/>
      <c r="F80" s="52"/>
      <c r="G80" s="12"/>
      <c r="H80" s="60" t="s">
        <v>748</v>
      </c>
      <c r="I80" s="58"/>
      <c r="J80" s="58"/>
      <c r="K80" s="198"/>
      <c r="L80" s="58">
        <v>350</v>
      </c>
      <c r="M80" s="58">
        <v>327</v>
      </c>
      <c r="N80" s="198">
        <f t="shared" si="16"/>
        <v>93.428571428571431</v>
      </c>
      <c r="O80" s="58">
        <f>L80</f>
        <v>350</v>
      </c>
      <c r="P80" s="58">
        <f>M80</f>
        <v>327</v>
      </c>
      <c r="Q80" s="203">
        <f t="shared" si="15"/>
        <v>93.428571428571431</v>
      </c>
    </row>
    <row r="81" spans="2:17" x14ac:dyDescent="0.2">
      <c r="B81" s="72">
        <f t="shared" si="14"/>
        <v>73</v>
      </c>
      <c r="C81" s="12"/>
      <c r="D81" s="12"/>
      <c r="E81" s="12"/>
      <c r="F81" s="52" t="s">
        <v>151</v>
      </c>
      <c r="G81" s="12">
        <v>720</v>
      </c>
      <c r="H81" s="12" t="s">
        <v>428</v>
      </c>
      <c r="I81" s="49">
        <f>I82</f>
        <v>0</v>
      </c>
      <c r="J81" s="49">
        <f>J82</f>
        <v>0</v>
      </c>
      <c r="K81" s="198"/>
      <c r="L81" s="49">
        <f>L82</f>
        <v>15000</v>
      </c>
      <c r="M81" s="49">
        <f>M82</f>
        <v>15000</v>
      </c>
      <c r="N81" s="198">
        <f t="shared" si="16"/>
        <v>100</v>
      </c>
      <c r="O81" s="49">
        <f>L81+I81</f>
        <v>15000</v>
      </c>
      <c r="P81" s="49">
        <f>M81+J81</f>
        <v>15000</v>
      </c>
      <c r="Q81" s="203">
        <f t="shared" si="15"/>
        <v>100</v>
      </c>
    </row>
    <row r="82" spans="2:17" x14ac:dyDescent="0.2">
      <c r="B82" s="72">
        <f t="shared" si="14"/>
        <v>74</v>
      </c>
      <c r="C82" s="12"/>
      <c r="D82" s="12"/>
      <c r="E82" s="12"/>
      <c r="F82" s="82" t="s">
        <v>151</v>
      </c>
      <c r="G82" s="83">
        <v>722</v>
      </c>
      <c r="H82" s="83" t="s">
        <v>586</v>
      </c>
      <c r="I82" s="84"/>
      <c r="J82" s="84"/>
      <c r="K82" s="198"/>
      <c r="L82" s="84">
        <f>L83</f>
        <v>15000</v>
      </c>
      <c r="M82" s="84">
        <f>M83</f>
        <v>15000</v>
      </c>
      <c r="N82" s="198">
        <f t="shared" si="16"/>
        <v>100</v>
      </c>
      <c r="O82" s="84">
        <f>L82+I82</f>
        <v>15000</v>
      </c>
      <c r="P82" s="84">
        <f>M82+J82</f>
        <v>15000</v>
      </c>
      <c r="Q82" s="203">
        <f t="shared" si="15"/>
        <v>100</v>
      </c>
    </row>
    <row r="83" spans="2:17" x14ac:dyDescent="0.2">
      <c r="B83" s="72">
        <f t="shared" si="14"/>
        <v>75</v>
      </c>
      <c r="C83" s="12"/>
      <c r="D83" s="12"/>
      <c r="E83" s="12"/>
      <c r="F83" s="52"/>
      <c r="G83" s="12"/>
      <c r="H83" s="60" t="s">
        <v>587</v>
      </c>
      <c r="I83" s="58"/>
      <c r="J83" s="58"/>
      <c r="K83" s="198"/>
      <c r="L83" s="58">
        <v>15000</v>
      </c>
      <c r="M83" s="58">
        <v>15000</v>
      </c>
      <c r="N83" s="198">
        <f t="shared" si="16"/>
        <v>100</v>
      </c>
      <c r="O83" s="58">
        <f>L83</f>
        <v>15000</v>
      </c>
      <c r="P83" s="58">
        <f>M83</f>
        <v>15000</v>
      </c>
      <c r="Q83" s="203">
        <f t="shared" si="15"/>
        <v>100</v>
      </c>
    </row>
  </sheetData>
  <mergeCells count="24">
    <mergeCell ref="I5:I8"/>
    <mergeCell ref="B3:O3"/>
    <mergeCell ref="C9:H9"/>
    <mergeCell ref="D10:H10"/>
    <mergeCell ref="D29:H29"/>
    <mergeCell ref="B4:L4"/>
    <mergeCell ref="O4:O8"/>
    <mergeCell ref="B5:B8"/>
    <mergeCell ref="C5:C8"/>
    <mergeCell ref="D65:H65"/>
    <mergeCell ref="D5:D8"/>
    <mergeCell ref="E5:E8"/>
    <mergeCell ref="F5:F8"/>
    <mergeCell ref="G5:G8"/>
    <mergeCell ref="H5:H8"/>
    <mergeCell ref="D54:H54"/>
    <mergeCell ref="D62:H62"/>
    <mergeCell ref="P4:P8"/>
    <mergeCell ref="Q4:Q8"/>
    <mergeCell ref="L5:L8"/>
    <mergeCell ref="J5:J8"/>
    <mergeCell ref="K5:K8"/>
    <mergeCell ref="M5:M8"/>
    <mergeCell ref="N5:N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50"/>
  <sheetViews>
    <sheetView zoomScale="90" zoomScaleNormal="90" workbookViewId="0"/>
  </sheetViews>
  <sheetFormatPr defaultRowHeight="12.75" x14ac:dyDescent="0.2"/>
  <cols>
    <col min="2" max="2" width="5.5703125" customWidth="1"/>
    <col min="3" max="3" width="4.42578125" customWidth="1"/>
    <col min="4" max="4" width="5.5703125" customWidth="1"/>
    <col min="5" max="5" width="6.140625" customWidth="1"/>
    <col min="6" max="6" width="6.5703125" customWidth="1"/>
    <col min="7" max="7" width="4.28515625" customWidth="1"/>
    <col min="8" max="8" width="47.42578125" customWidth="1"/>
    <col min="9" max="9" width="12.7109375" customWidth="1"/>
    <col min="10" max="10" width="12.42578125" customWidth="1"/>
    <col min="11" max="11" width="5.7109375" customWidth="1"/>
    <col min="12" max="12" width="13.140625" customWidth="1"/>
    <col min="13" max="13" width="11.5703125" customWidth="1"/>
    <col min="14" max="14" width="6.42578125" customWidth="1"/>
    <col min="15" max="15" width="12.7109375" customWidth="1"/>
    <col min="16" max="16" width="12.28515625" customWidth="1"/>
    <col min="17" max="17" width="6.7109375" customWidth="1"/>
  </cols>
  <sheetData>
    <row r="3" spans="2:17" ht="27" x14ac:dyDescent="0.35">
      <c r="B3" s="264" t="s">
        <v>300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2:17" x14ac:dyDescent="0.2">
      <c r="B4" s="271" t="s">
        <v>280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5"/>
      <c r="O4" s="261" t="s">
        <v>575</v>
      </c>
      <c r="P4" s="250" t="s">
        <v>768</v>
      </c>
      <c r="Q4" s="251" t="s">
        <v>765</v>
      </c>
    </row>
    <row r="5" spans="2:17" x14ac:dyDescent="0.2">
      <c r="B5" s="266" t="s">
        <v>111</v>
      </c>
      <c r="C5" s="255" t="s">
        <v>119</v>
      </c>
      <c r="D5" s="255" t="s">
        <v>120</v>
      </c>
      <c r="E5" s="258" t="s">
        <v>124</v>
      </c>
      <c r="F5" s="255" t="s">
        <v>121</v>
      </c>
      <c r="G5" s="255" t="s">
        <v>122</v>
      </c>
      <c r="H5" s="273" t="s">
        <v>123</v>
      </c>
      <c r="I5" s="261" t="s">
        <v>572</v>
      </c>
      <c r="J5" s="250" t="s">
        <v>766</v>
      </c>
      <c r="K5" s="251" t="s">
        <v>765</v>
      </c>
      <c r="L5" s="261" t="s">
        <v>573</v>
      </c>
      <c r="M5" s="250" t="s">
        <v>767</v>
      </c>
      <c r="N5" s="251" t="s">
        <v>765</v>
      </c>
      <c r="O5" s="262"/>
      <c r="P5" s="250"/>
      <c r="Q5" s="251"/>
    </row>
    <row r="6" spans="2:17" x14ac:dyDescent="0.2">
      <c r="B6" s="266"/>
      <c r="C6" s="255"/>
      <c r="D6" s="255"/>
      <c r="E6" s="259"/>
      <c r="F6" s="255"/>
      <c r="G6" s="255"/>
      <c r="H6" s="273"/>
      <c r="I6" s="262"/>
      <c r="J6" s="250"/>
      <c r="K6" s="251"/>
      <c r="L6" s="262"/>
      <c r="M6" s="250"/>
      <c r="N6" s="251"/>
      <c r="O6" s="262"/>
      <c r="P6" s="250"/>
      <c r="Q6" s="251"/>
    </row>
    <row r="7" spans="2:17" x14ac:dyDescent="0.2">
      <c r="B7" s="266"/>
      <c r="C7" s="255"/>
      <c r="D7" s="255"/>
      <c r="E7" s="259"/>
      <c r="F7" s="255"/>
      <c r="G7" s="255"/>
      <c r="H7" s="273"/>
      <c r="I7" s="262"/>
      <c r="J7" s="250"/>
      <c r="K7" s="251"/>
      <c r="L7" s="262"/>
      <c r="M7" s="250"/>
      <c r="N7" s="251"/>
      <c r="O7" s="262"/>
      <c r="P7" s="250"/>
      <c r="Q7" s="251"/>
    </row>
    <row r="8" spans="2:17" ht="13.5" thickBot="1" x14ac:dyDescent="0.25">
      <c r="B8" s="267"/>
      <c r="C8" s="256"/>
      <c r="D8" s="256"/>
      <c r="E8" s="260"/>
      <c r="F8" s="256"/>
      <c r="G8" s="256"/>
      <c r="H8" s="274"/>
      <c r="I8" s="263"/>
      <c r="J8" s="250"/>
      <c r="K8" s="251"/>
      <c r="L8" s="263"/>
      <c r="M8" s="250"/>
      <c r="N8" s="251"/>
      <c r="O8" s="263"/>
      <c r="P8" s="250"/>
      <c r="Q8" s="251"/>
    </row>
    <row r="9" spans="2:17" ht="16.5" thickTop="1" x14ac:dyDescent="0.2">
      <c r="B9" s="71">
        <v>1</v>
      </c>
      <c r="C9" s="268" t="s">
        <v>300</v>
      </c>
      <c r="D9" s="269"/>
      <c r="E9" s="269"/>
      <c r="F9" s="269"/>
      <c r="G9" s="269"/>
      <c r="H9" s="270"/>
      <c r="I9" s="44">
        <f>I47+I14+I10</f>
        <v>3252631</v>
      </c>
      <c r="J9" s="44">
        <f>J47+J14+J10</f>
        <v>3059311</v>
      </c>
      <c r="K9" s="198">
        <f t="shared" ref="K9:K31" si="0">J9/I9*100</f>
        <v>94.05650379646508</v>
      </c>
      <c r="L9" s="44">
        <f>L47+L14+L10</f>
        <v>3495856</v>
      </c>
      <c r="M9" s="44">
        <f>M47+M14+M10</f>
        <v>2114209</v>
      </c>
      <c r="N9" s="198">
        <f>M9/L9*100</f>
        <v>60.477576879596874</v>
      </c>
      <c r="O9" s="44">
        <f t="shared" ref="O9:O47" si="1">I9+L9</f>
        <v>6748487</v>
      </c>
      <c r="P9" s="44">
        <f t="shared" ref="P9:P47" si="2">J9+M9</f>
        <v>5173520</v>
      </c>
      <c r="Q9" s="203">
        <f t="shared" ref="Q9:Q40" si="3">P9/O9*100</f>
        <v>76.66192436912155</v>
      </c>
    </row>
    <row r="10" spans="2:17" ht="15" x14ac:dyDescent="0.2">
      <c r="B10" s="72">
        <f>B9+1</f>
        <v>2</v>
      </c>
      <c r="C10" s="179">
        <v>1</v>
      </c>
      <c r="D10" s="257" t="s">
        <v>29</v>
      </c>
      <c r="E10" s="253"/>
      <c r="F10" s="253"/>
      <c r="G10" s="253"/>
      <c r="H10" s="254"/>
      <c r="I10" s="45">
        <f>I11</f>
        <v>2012841</v>
      </c>
      <c r="J10" s="45">
        <f>J11</f>
        <v>2012786</v>
      </c>
      <c r="K10" s="198">
        <f t="shared" si="0"/>
        <v>99.997267543735447</v>
      </c>
      <c r="L10" s="45">
        <f>L11</f>
        <v>0</v>
      </c>
      <c r="M10" s="45">
        <f>M11</f>
        <v>0</v>
      </c>
      <c r="N10" s="198"/>
      <c r="O10" s="45">
        <f t="shared" si="1"/>
        <v>2012841</v>
      </c>
      <c r="P10" s="45">
        <f t="shared" si="2"/>
        <v>2012786</v>
      </c>
      <c r="Q10" s="203">
        <f t="shared" si="3"/>
        <v>99.997267543735447</v>
      </c>
    </row>
    <row r="11" spans="2:17" x14ac:dyDescent="0.2">
      <c r="B11" s="72">
        <f t="shared" ref="B11:B40" si="4">B10+1</f>
        <v>3</v>
      </c>
      <c r="C11" s="12"/>
      <c r="D11" s="12"/>
      <c r="E11" s="12"/>
      <c r="F11" s="52" t="s">
        <v>5</v>
      </c>
      <c r="G11" s="12">
        <v>630</v>
      </c>
      <c r="H11" s="12" t="s">
        <v>127</v>
      </c>
      <c r="I11" s="49">
        <f>I12+I13</f>
        <v>2012841</v>
      </c>
      <c r="J11" s="49">
        <f>J12+J13</f>
        <v>2012786</v>
      </c>
      <c r="K11" s="198">
        <f t="shared" si="0"/>
        <v>99.997267543735447</v>
      </c>
      <c r="L11" s="49">
        <f>L12</f>
        <v>0</v>
      </c>
      <c r="M11" s="49">
        <f>M12</f>
        <v>0</v>
      </c>
      <c r="N11" s="198"/>
      <c r="O11" s="49">
        <f t="shared" si="1"/>
        <v>2012841</v>
      </c>
      <c r="P11" s="49">
        <f t="shared" si="2"/>
        <v>2012786</v>
      </c>
      <c r="Q11" s="203">
        <f t="shared" si="3"/>
        <v>99.997267543735447</v>
      </c>
    </row>
    <row r="12" spans="2:17" x14ac:dyDescent="0.2">
      <c r="B12" s="72">
        <f t="shared" si="4"/>
        <v>4</v>
      </c>
      <c r="C12" s="4"/>
      <c r="D12" s="4"/>
      <c r="E12" s="4"/>
      <c r="F12" s="53" t="s">
        <v>5</v>
      </c>
      <c r="G12" s="4">
        <v>637</v>
      </c>
      <c r="H12" s="4" t="s">
        <v>128</v>
      </c>
      <c r="I12" s="23">
        <f>1905000+105541-2700</f>
        <v>2007841</v>
      </c>
      <c r="J12" s="23">
        <v>2007786</v>
      </c>
      <c r="K12" s="198">
        <f t="shared" si="0"/>
        <v>99.997260739271681</v>
      </c>
      <c r="L12" s="23"/>
      <c r="M12" s="23"/>
      <c r="N12" s="198"/>
      <c r="O12" s="23">
        <f t="shared" si="1"/>
        <v>2007841</v>
      </c>
      <c r="P12" s="23">
        <f t="shared" si="2"/>
        <v>2007786</v>
      </c>
      <c r="Q12" s="203">
        <f t="shared" si="3"/>
        <v>99.997260739271681</v>
      </c>
    </row>
    <row r="13" spans="2:17" x14ac:dyDescent="0.2">
      <c r="B13" s="72">
        <f t="shared" si="4"/>
        <v>5</v>
      </c>
      <c r="C13" s="4"/>
      <c r="D13" s="4"/>
      <c r="E13" s="4"/>
      <c r="F13" s="53" t="s">
        <v>5</v>
      </c>
      <c r="G13" s="4">
        <v>637</v>
      </c>
      <c r="H13" s="4" t="s">
        <v>753</v>
      </c>
      <c r="I13" s="23">
        <v>5000</v>
      </c>
      <c r="J13" s="23">
        <v>5000</v>
      </c>
      <c r="K13" s="198">
        <f t="shared" si="0"/>
        <v>100</v>
      </c>
      <c r="L13" s="23"/>
      <c r="M13" s="23"/>
      <c r="N13" s="198"/>
      <c r="O13" s="23">
        <f t="shared" si="1"/>
        <v>5000</v>
      </c>
      <c r="P13" s="23">
        <f t="shared" si="2"/>
        <v>5000</v>
      </c>
      <c r="Q13" s="203">
        <f t="shared" si="3"/>
        <v>100</v>
      </c>
    </row>
    <row r="14" spans="2:17" ht="15" x14ac:dyDescent="0.2">
      <c r="B14" s="72">
        <f t="shared" si="4"/>
        <v>6</v>
      </c>
      <c r="C14" s="179">
        <v>2</v>
      </c>
      <c r="D14" s="257" t="s">
        <v>6</v>
      </c>
      <c r="E14" s="253"/>
      <c r="F14" s="253"/>
      <c r="G14" s="253"/>
      <c r="H14" s="254"/>
      <c r="I14" s="45">
        <f>I15+I35+I31</f>
        <v>1239790</v>
      </c>
      <c r="J14" s="45">
        <f>J15+J35+J31</f>
        <v>1046525</v>
      </c>
      <c r="K14" s="198">
        <f t="shared" si="0"/>
        <v>84.411472910734886</v>
      </c>
      <c r="L14" s="45">
        <f>L15+L35+L32</f>
        <v>189339</v>
      </c>
      <c r="M14" s="45">
        <f>M15+M35+M32</f>
        <v>104988</v>
      </c>
      <c r="N14" s="198">
        <f>M14/L14*100</f>
        <v>55.449748863150226</v>
      </c>
      <c r="O14" s="45">
        <f t="shared" si="1"/>
        <v>1429129</v>
      </c>
      <c r="P14" s="45">
        <f t="shared" si="2"/>
        <v>1151513</v>
      </c>
      <c r="Q14" s="203">
        <f t="shared" si="3"/>
        <v>80.574461787564317</v>
      </c>
    </row>
    <row r="15" spans="2:17" x14ac:dyDescent="0.2">
      <c r="B15" s="72">
        <f t="shared" si="4"/>
        <v>7</v>
      </c>
      <c r="C15" s="12"/>
      <c r="D15" s="12"/>
      <c r="E15" s="12"/>
      <c r="F15" s="52" t="s">
        <v>5</v>
      </c>
      <c r="G15" s="12">
        <v>630</v>
      </c>
      <c r="H15" s="12" t="s">
        <v>127</v>
      </c>
      <c r="I15" s="49">
        <f>I30+I18+I24+I25+I16+I17+I27+I28+I29+I26</f>
        <v>1140440</v>
      </c>
      <c r="J15" s="49">
        <f>J30+J18+J24+J25+J16+J17+J27+J28+J29+J26</f>
        <v>984824</v>
      </c>
      <c r="K15" s="198">
        <f t="shared" si="0"/>
        <v>86.354740275683071</v>
      </c>
      <c r="L15" s="49">
        <f>L30+L18</f>
        <v>0</v>
      </c>
      <c r="M15" s="49">
        <f>M30+M18</f>
        <v>0</v>
      </c>
      <c r="N15" s="198"/>
      <c r="O15" s="49">
        <f t="shared" si="1"/>
        <v>1140440</v>
      </c>
      <c r="P15" s="49">
        <f t="shared" si="2"/>
        <v>984824</v>
      </c>
      <c r="Q15" s="203">
        <f t="shared" si="3"/>
        <v>86.354740275683071</v>
      </c>
    </row>
    <row r="16" spans="2:17" x14ac:dyDescent="0.2">
      <c r="B16" s="72">
        <f t="shared" si="4"/>
        <v>8</v>
      </c>
      <c r="C16" s="12"/>
      <c r="D16" s="12"/>
      <c r="E16" s="12"/>
      <c r="F16" s="64"/>
      <c r="G16" s="60">
        <v>632</v>
      </c>
      <c r="H16" s="60" t="s">
        <v>685</v>
      </c>
      <c r="I16" s="58">
        <v>20000</v>
      </c>
      <c r="J16" s="58">
        <v>0</v>
      </c>
      <c r="K16" s="198">
        <f t="shared" si="0"/>
        <v>0</v>
      </c>
      <c r="L16" s="58"/>
      <c r="M16" s="58"/>
      <c r="N16" s="198"/>
      <c r="O16" s="23">
        <f t="shared" si="1"/>
        <v>20000</v>
      </c>
      <c r="P16" s="23">
        <f t="shared" si="2"/>
        <v>0</v>
      </c>
      <c r="Q16" s="203">
        <f t="shared" si="3"/>
        <v>0</v>
      </c>
    </row>
    <row r="17" spans="2:17" x14ac:dyDescent="0.2">
      <c r="B17" s="72">
        <f t="shared" si="4"/>
        <v>9</v>
      </c>
      <c r="C17" s="12"/>
      <c r="D17" s="12"/>
      <c r="E17" s="12"/>
      <c r="F17" s="64"/>
      <c r="G17" s="60">
        <v>632</v>
      </c>
      <c r="H17" s="60" t="s">
        <v>686</v>
      </c>
      <c r="I17" s="58">
        <v>850</v>
      </c>
      <c r="J17" s="58">
        <v>0</v>
      </c>
      <c r="K17" s="198">
        <f t="shared" si="0"/>
        <v>0</v>
      </c>
      <c r="L17" s="58"/>
      <c r="M17" s="58"/>
      <c r="N17" s="198"/>
      <c r="O17" s="23">
        <f t="shared" si="1"/>
        <v>850</v>
      </c>
      <c r="P17" s="23">
        <f t="shared" si="2"/>
        <v>0</v>
      </c>
      <c r="Q17" s="203">
        <f t="shared" si="3"/>
        <v>0</v>
      </c>
    </row>
    <row r="18" spans="2:17" x14ac:dyDescent="0.2">
      <c r="B18" s="72">
        <f t="shared" si="4"/>
        <v>10</v>
      </c>
      <c r="C18" s="4"/>
      <c r="D18" s="4"/>
      <c r="E18" s="4"/>
      <c r="F18" s="53" t="s">
        <v>5</v>
      </c>
      <c r="G18" s="4">
        <v>635</v>
      </c>
      <c r="H18" s="4" t="s">
        <v>137</v>
      </c>
      <c r="I18" s="23">
        <f>I19+I20+I21+I22+I23</f>
        <v>977700</v>
      </c>
      <c r="J18" s="23">
        <f>J19+J20+J21+J22+J23</f>
        <v>856390</v>
      </c>
      <c r="K18" s="198">
        <f t="shared" si="0"/>
        <v>87.592308479083556</v>
      </c>
      <c r="L18" s="23"/>
      <c r="M18" s="23"/>
      <c r="N18" s="198"/>
      <c r="O18" s="23">
        <f t="shared" si="1"/>
        <v>977700</v>
      </c>
      <c r="P18" s="23">
        <f t="shared" si="2"/>
        <v>856390</v>
      </c>
      <c r="Q18" s="203">
        <f t="shared" si="3"/>
        <v>87.592308479083556</v>
      </c>
    </row>
    <row r="19" spans="2:17" x14ac:dyDescent="0.2">
      <c r="B19" s="72">
        <f t="shared" si="4"/>
        <v>11</v>
      </c>
      <c r="C19" s="4"/>
      <c r="D19" s="4"/>
      <c r="E19" s="4"/>
      <c r="F19" s="53"/>
      <c r="G19" s="4"/>
      <c r="H19" s="4" t="s">
        <v>704</v>
      </c>
      <c r="I19" s="23">
        <f>380000-70000+50000</f>
        <v>360000</v>
      </c>
      <c r="J19" s="23">
        <v>355799</v>
      </c>
      <c r="K19" s="198">
        <f t="shared" si="0"/>
        <v>98.833055555555561</v>
      </c>
      <c r="L19" s="23"/>
      <c r="M19" s="23"/>
      <c r="N19" s="198"/>
      <c r="O19" s="23">
        <f t="shared" si="1"/>
        <v>360000</v>
      </c>
      <c r="P19" s="23">
        <f t="shared" si="2"/>
        <v>355799</v>
      </c>
      <c r="Q19" s="203">
        <f t="shared" si="3"/>
        <v>98.833055555555561</v>
      </c>
    </row>
    <row r="20" spans="2:17" x14ac:dyDescent="0.2">
      <c r="B20" s="72">
        <f t="shared" si="4"/>
        <v>12</v>
      </c>
      <c r="C20" s="4"/>
      <c r="D20" s="4"/>
      <c r="E20" s="4"/>
      <c r="F20" s="53"/>
      <c r="G20" s="4"/>
      <c r="H20" s="4" t="s">
        <v>475</v>
      </c>
      <c r="I20" s="23">
        <f>220000+70000-2300</f>
        <v>287700</v>
      </c>
      <c r="J20" s="23">
        <v>270125</v>
      </c>
      <c r="K20" s="198">
        <f t="shared" si="0"/>
        <v>93.891206117483492</v>
      </c>
      <c r="L20" s="23"/>
      <c r="M20" s="23"/>
      <c r="N20" s="198"/>
      <c r="O20" s="23">
        <f t="shared" si="1"/>
        <v>287700</v>
      </c>
      <c r="P20" s="23">
        <f t="shared" si="2"/>
        <v>270125</v>
      </c>
      <c r="Q20" s="203">
        <f t="shared" si="3"/>
        <v>93.891206117483492</v>
      </c>
    </row>
    <row r="21" spans="2:17" x14ac:dyDescent="0.2">
      <c r="B21" s="72">
        <f t="shared" si="4"/>
        <v>13</v>
      </c>
      <c r="C21" s="4"/>
      <c r="D21" s="4"/>
      <c r="E21" s="4"/>
      <c r="F21" s="53"/>
      <c r="G21" s="4"/>
      <c r="H21" s="4" t="s">
        <v>476</v>
      </c>
      <c r="I21" s="23">
        <f>250000-85000</f>
        <v>165000</v>
      </c>
      <c r="J21" s="23">
        <v>162282</v>
      </c>
      <c r="K21" s="198">
        <f t="shared" si="0"/>
        <v>98.352727272727265</v>
      </c>
      <c r="L21" s="23"/>
      <c r="M21" s="23"/>
      <c r="N21" s="198"/>
      <c r="O21" s="23">
        <f t="shared" si="1"/>
        <v>165000</v>
      </c>
      <c r="P21" s="23">
        <f t="shared" si="2"/>
        <v>162282</v>
      </c>
      <c r="Q21" s="203">
        <f t="shared" si="3"/>
        <v>98.352727272727265</v>
      </c>
    </row>
    <row r="22" spans="2:17" x14ac:dyDescent="0.2">
      <c r="B22" s="72">
        <f t="shared" si="4"/>
        <v>14</v>
      </c>
      <c r="C22" s="4"/>
      <c r="D22" s="4"/>
      <c r="E22" s="4"/>
      <c r="F22" s="53"/>
      <c r="G22" s="4"/>
      <c r="H22" s="148" t="s">
        <v>590</v>
      </c>
      <c r="I22" s="149">
        <f>280000-133333</f>
        <v>146667</v>
      </c>
      <c r="J22" s="149">
        <v>65451</v>
      </c>
      <c r="K22" s="198">
        <f t="shared" si="0"/>
        <v>44.625580396408189</v>
      </c>
      <c r="L22" s="149"/>
      <c r="M22" s="149"/>
      <c r="N22" s="198"/>
      <c r="O22" s="149">
        <f t="shared" si="1"/>
        <v>146667</v>
      </c>
      <c r="P22" s="149">
        <f t="shared" si="2"/>
        <v>65451</v>
      </c>
      <c r="Q22" s="203">
        <f t="shared" si="3"/>
        <v>44.625580396408189</v>
      </c>
    </row>
    <row r="23" spans="2:17" x14ac:dyDescent="0.2">
      <c r="B23" s="72">
        <f t="shared" si="4"/>
        <v>15</v>
      </c>
      <c r="C23" s="4"/>
      <c r="D23" s="4"/>
      <c r="E23" s="4"/>
      <c r="F23" s="53"/>
      <c r="G23" s="4"/>
      <c r="H23" s="148" t="s">
        <v>591</v>
      </c>
      <c r="I23" s="149">
        <f>35000-16667</f>
        <v>18333</v>
      </c>
      <c r="J23" s="149">
        <v>2733</v>
      </c>
      <c r="K23" s="198">
        <f t="shared" si="0"/>
        <v>14.907543773523155</v>
      </c>
      <c r="L23" s="149"/>
      <c r="M23" s="149"/>
      <c r="N23" s="198"/>
      <c r="O23" s="149">
        <f t="shared" si="1"/>
        <v>18333</v>
      </c>
      <c r="P23" s="149">
        <f t="shared" si="2"/>
        <v>2733</v>
      </c>
      <c r="Q23" s="203">
        <f t="shared" si="3"/>
        <v>14.907543773523155</v>
      </c>
    </row>
    <row r="24" spans="2:17" x14ac:dyDescent="0.2">
      <c r="B24" s="72">
        <f t="shared" si="4"/>
        <v>16</v>
      </c>
      <c r="C24" s="4"/>
      <c r="D24" s="4"/>
      <c r="E24" s="4"/>
      <c r="F24" s="130" t="s">
        <v>5</v>
      </c>
      <c r="G24" s="131">
        <v>635</v>
      </c>
      <c r="H24" s="131" t="s">
        <v>549</v>
      </c>
      <c r="I24" s="129">
        <v>10000</v>
      </c>
      <c r="J24" s="129">
        <v>10000</v>
      </c>
      <c r="K24" s="198">
        <f t="shared" si="0"/>
        <v>100</v>
      </c>
      <c r="L24" s="129"/>
      <c r="M24" s="129"/>
      <c r="N24" s="198"/>
      <c r="O24" s="129">
        <f t="shared" si="1"/>
        <v>10000</v>
      </c>
      <c r="P24" s="129">
        <f t="shared" si="2"/>
        <v>10000</v>
      </c>
      <c r="Q24" s="203">
        <f t="shared" si="3"/>
        <v>100</v>
      </c>
    </row>
    <row r="25" spans="2:17" x14ac:dyDescent="0.2">
      <c r="B25" s="72">
        <f t="shared" si="4"/>
        <v>17</v>
      </c>
      <c r="C25" s="4"/>
      <c r="D25" s="4"/>
      <c r="E25" s="4"/>
      <c r="F25" s="102" t="s">
        <v>5</v>
      </c>
      <c r="G25" s="101">
        <v>635</v>
      </c>
      <c r="H25" s="101" t="s">
        <v>653</v>
      </c>
      <c r="I25" s="73">
        <f>2000+700</f>
        <v>2700</v>
      </c>
      <c r="J25" s="73"/>
      <c r="K25" s="198">
        <f t="shared" si="0"/>
        <v>0</v>
      </c>
      <c r="L25" s="73"/>
      <c r="M25" s="73"/>
      <c r="N25" s="198"/>
      <c r="O25" s="73">
        <f t="shared" si="1"/>
        <v>2700</v>
      </c>
      <c r="P25" s="73">
        <f t="shared" si="2"/>
        <v>0</v>
      </c>
      <c r="Q25" s="203">
        <f t="shared" si="3"/>
        <v>0</v>
      </c>
    </row>
    <row r="26" spans="2:17" x14ac:dyDescent="0.2">
      <c r="B26" s="72">
        <f t="shared" si="4"/>
        <v>18</v>
      </c>
      <c r="C26" s="4"/>
      <c r="D26" s="4"/>
      <c r="E26" s="4"/>
      <c r="F26" s="102" t="s">
        <v>5</v>
      </c>
      <c r="G26" s="101">
        <v>635</v>
      </c>
      <c r="H26" s="101" t="s">
        <v>711</v>
      </c>
      <c r="I26" s="73">
        <v>118340</v>
      </c>
      <c r="J26" s="73">
        <v>118340</v>
      </c>
      <c r="K26" s="198">
        <f t="shared" si="0"/>
        <v>100</v>
      </c>
      <c r="L26" s="73"/>
      <c r="M26" s="73"/>
      <c r="N26" s="198"/>
      <c r="O26" s="73">
        <f t="shared" si="1"/>
        <v>118340</v>
      </c>
      <c r="P26" s="73">
        <f t="shared" si="2"/>
        <v>118340</v>
      </c>
      <c r="Q26" s="203">
        <f t="shared" si="3"/>
        <v>100</v>
      </c>
    </row>
    <row r="27" spans="2:17" x14ac:dyDescent="0.2">
      <c r="B27" s="72">
        <f t="shared" si="4"/>
        <v>19</v>
      </c>
      <c r="C27" s="4"/>
      <c r="D27" s="4"/>
      <c r="E27" s="4"/>
      <c r="F27" s="102" t="s">
        <v>5</v>
      </c>
      <c r="G27" s="101">
        <v>636</v>
      </c>
      <c r="H27" s="101" t="s">
        <v>705</v>
      </c>
      <c r="I27" s="73">
        <v>6400</v>
      </c>
      <c r="J27" s="73"/>
      <c r="K27" s="198">
        <f t="shared" si="0"/>
        <v>0</v>
      </c>
      <c r="L27" s="73"/>
      <c r="M27" s="73"/>
      <c r="N27" s="198"/>
      <c r="O27" s="73">
        <f t="shared" si="1"/>
        <v>6400</v>
      </c>
      <c r="P27" s="73">
        <f t="shared" si="2"/>
        <v>0</v>
      </c>
      <c r="Q27" s="203">
        <f t="shared" si="3"/>
        <v>0</v>
      </c>
    </row>
    <row r="28" spans="2:17" x14ac:dyDescent="0.2">
      <c r="B28" s="72">
        <f t="shared" si="4"/>
        <v>20</v>
      </c>
      <c r="C28" s="4"/>
      <c r="D28" s="4"/>
      <c r="E28" s="4"/>
      <c r="F28" s="102" t="s">
        <v>5</v>
      </c>
      <c r="G28" s="101">
        <v>637</v>
      </c>
      <c r="H28" s="101" t="s">
        <v>708</v>
      </c>
      <c r="I28" s="73">
        <v>1600</v>
      </c>
      <c r="J28" s="73"/>
      <c r="K28" s="198">
        <f t="shared" si="0"/>
        <v>0</v>
      </c>
      <c r="L28" s="73"/>
      <c r="M28" s="73"/>
      <c r="N28" s="198"/>
      <c r="O28" s="73">
        <f t="shared" si="1"/>
        <v>1600</v>
      </c>
      <c r="P28" s="73">
        <f t="shared" si="2"/>
        <v>0</v>
      </c>
      <c r="Q28" s="203">
        <f t="shared" si="3"/>
        <v>0</v>
      </c>
    </row>
    <row r="29" spans="2:17" x14ac:dyDescent="0.2">
      <c r="B29" s="72">
        <f t="shared" si="4"/>
        <v>21</v>
      </c>
      <c r="C29" s="4"/>
      <c r="D29" s="4"/>
      <c r="E29" s="4"/>
      <c r="F29" s="102" t="s">
        <v>706</v>
      </c>
      <c r="G29" s="101">
        <v>637</v>
      </c>
      <c r="H29" s="101" t="s">
        <v>707</v>
      </c>
      <c r="I29" s="73">
        <v>850</v>
      </c>
      <c r="J29" s="73"/>
      <c r="K29" s="198">
        <f t="shared" si="0"/>
        <v>0</v>
      </c>
      <c r="L29" s="73"/>
      <c r="M29" s="73"/>
      <c r="N29" s="198"/>
      <c r="O29" s="73">
        <f t="shared" si="1"/>
        <v>850</v>
      </c>
      <c r="P29" s="73">
        <f t="shared" si="2"/>
        <v>0</v>
      </c>
      <c r="Q29" s="203">
        <f t="shared" si="3"/>
        <v>0</v>
      </c>
    </row>
    <row r="30" spans="2:17" x14ac:dyDescent="0.2">
      <c r="B30" s="72">
        <f t="shared" si="4"/>
        <v>22</v>
      </c>
      <c r="C30" s="4"/>
      <c r="D30" s="4"/>
      <c r="E30" s="4"/>
      <c r="F30" s="53" t="s">
        <v>5</v>
      </c>
      <c r="G30" s="4">
        <v>637</v>
      </c>
      <c r="H30" s="4" t="s">
        <v>128</v>
      </c>
      <c r="I30" s="23">
        <v>2000</v>
      </c>
      <c r="J30" s="23">
        <v>94</v>
      </c>
      <c r="K30" s="198">
        <f t="shared" si="0"/>
        <v>4.7</v>
      </c>
      <c r="L30" s="23"/>
      <c r="M30" s="23"/>
      <c r="N30" s="198"/>
      <c r="O30" s="23">
        <f t="shared" si="1"/>
        <v>2000</v>
      </c>
      <c r="P30" s="23">
        <f t="shared" si="2"/>
        <v>94</v>
      </c>
      <c r="Q30" s="203">
        <f t="shared" si="3"/>
        <v>4.7</v>
      </c>
    </row>
    <row r="31" spans="2:17" x14ac:dyDescent="0.2">
      <c r="B31" s="72">
        <f t="shared" si="4"/>
        <v>23</v>
      </c>
      <c r="C31" s="4"/>
      <c r="D31" s="4"/>
      <c r="E31" s="4"/>
      <c r="F31" s="52" t="s">
        <v>5</v>
      </c>
      <c r="G31" s="12">
        <v>630</v>
      </c>
      <c r="H31" s="118" t="s">
        <v>527</v>
      </c>
      <c r="I31" s="119">
        <v>400</v>
      </c>
      <c r="J31" s="119"/>
      <c r="K31" s="198">
        <f t="shared" si="0"/>
        <v>0</v>
      </c>
      <c r="L31" s="119"/>
      <c r="M31" s="119"/>
      <c r="N31" s="198"/>
      <c r="O31" s="119">
        <f t="shared" si="1"/>
        <v>400</v>
      </c>
      <c r="P31" s="119">
        <f t="shared" si="2"/>
        <v>0</v>
      </c>
      <c r="Q31" s="203">
        <f t="shared" si="3"/>
        <v>0</v>
      </c>
    </row>
    <row r="32" spans="2:17" x14ac:dyDescent="0.2">
      <c r="B32" s="72">
        <f t="shared" si="4"/>
        <v>24</v>
      </c>
      <c r="C32" s="4"/>
      <c r="D32" s="4"/>
      <c r="E32" s="4"/>
      <c r="F32" s="52" t="s">
        <v>5</v>
      </c>
      <c r="G32" s="12">
        <v>710</v>
      </c>
      <c r="H32" s="12" t="s">
        <v>183</v>
      </c>
      <c r="I32" s="49">
        <f>I33</f>
        <v>0</v>
      </c>
      <c r="J32" s="49">
        <f>J33</f>
        <v>0</v>
      </c>
      <c r="K32" s="198"/>
      <c r="L32" s="49">
        <f>L33</f>
        <v>84339</v>
      </c>
      <c r="M32" s="49">
        <f>M33</f>
        <v>0</v>
      </c>
      <c r="N32" s="198">
        <f>M32/L32*100</f>
        <v>0</v>
      </c>
      <c r="O32" s="49">
        <f t="shared" si="1"/>
        <v>84339</v>
      </c>
      <c r="P32" s="49">
        <f t="shared" si="2"/>
        <v>0</v>
      </c>
      <c r="Q32" s="203">
        <f t="shared" si="3"/>
        <v>0</v>
      </c>
    </row>
    <row r="33" spans="2:17" x14ac:dyDescent="0.2">
      <c r="B33" s="72">
        <f t="shared" si="4"/>
        <v>25</v>
      </c>
      <c r="C33" s="4"/>
      <c r="D33" s="4"/>
      <c r="E33" s="4"/>
      <c r="F33" s="82" t="s">
        <v>5</v>
      </c>
      <c r="G33" s="83">
        <v>713</v>
      </c>
      <c r="H33" s="83" t="s">
        <v>4</v>
      </c>
      <c r="I33" s="84"/>
      <c r="J33" s="84"/>
      <c r="K33" s="198"/>
      <c r="L33" s="84">
        <f>L34</f>
        <v>84339</v>
      </c>
      <c r="M33" s="84">
        <f>M34</f>
        <v>0</v>
      </c>
      <c r="N33" s="198">
        <f>M33/L33*100</f>
        <v>0</v>
      </c>
      <c r="O33" s="84">
        <f t="shared" si="1"/>
        <v>84339</v>
      </c>
      <c r="P33" s="84">
        <f t="shared" si="2"/>
        <v>0</v>
      </c>
      <c r="Q33" s="203">
        <f t="shared" si="3"/>
        <v>0</v>
      </c>
    </row>
    <row r="34" spans="2:17" x14ac:dyDescent="0.2">
      <c r="B34" s="72">
        <f t="shared" si="4"/>
        <v>26</v>
      </c>
      <c r="C34" s="4"/>
      <c r="D34" s="4"/>
      <c r="E34" s="4"/>
      <c r="F34" s="53"/>
      <c r="G34" s="4"/>
      <c r="H34" s="4" t="s">
        <v>709</v>
      </c>
      <c r="I34" s="23"/>
      <c r="J34" s="23"/>
      <c r="K34" s="198"/>
      <c r="L34" s="23">
        <v>84339</v>
      </c>
      <c r="M34" s="23"/>
      <c r="N34" s="198">
        <f>M34/L34*100</f>
        <v>0</v>
      </c>
      <c r="O34" s="23">
        <f t="shared" si="1"/>
        <v>84339</v>
      </c>
      <c r="P34" s="23">
        <f t="shared" si="2"/>
        <v>0</v>
      </c>
      <c r="Q34" s="203">
        <f t="shared" si="3"/>
        <v>0</v>
      </c>
    </row>
    <row r="35" spans="2:17" ht="15" x14ac:dyDescent="0.25">
      <c r="B35" s="72">
        <f t="shared" si="4"/>
        <v>27</v>
      </c>
      <c r="C35" s="15"/>
      <c r="D35" s="15"/>
      <c r="E35" s="15">
        <v>2</v>
      </c>
      <c r="F35" s="50"/>
      <c r="G35" s="15"/>
      <c r="H35" s="15" t="s">
        <v>256</v>
      </c>
      <c r="I35" s="47">
        <f>I36+I37+I38+I44+I43</f>
        <v>98950</v>
      </c>
      <c r="J35" s="47">
        <f>J36+J37+J38+J44+J43</f>
        <v>61701</v>
      </c>
      <c r="K35" s="198">
        <f t="shared" ref="K35:K43" si="5">J35/I35*100</f>
        <v>62.355735219807983</v>
      </c>
      <c r="L35" s="47">
        <f>L36+L37+L38+L44</f>
        <v>105000</v>
      </c>
      <c r="M35" s="47">
        <f>M36+M37+M38+M44</f>
        <v>104988</v>
      </c>
      <c r="N35" s="198">
        <f>M35/L35*100</f>
        <v>99.988571428571433</v>
      </c>
      <c r="O35" s="47">
        <f t="shared" si="1"/>
        <v>203950</v>
      </c>
      <c r="P35" s="47">
        <f t="shared" si="2"/>
        <v>166689</v>
      </c>
      <c r="Q35" s="203">
        <f t="shared" si="3"/>
        <v>81.730326060308897</v>
      </c>
    </row>
    <row r="36" spans="2:17" x14ac:dyDescent="0.2">
      <c r="B36" s="72">
        <f t="shared" si="4"/>
        <v>28</v>
      </c>
      <c r="C36" s="12"/>
      <c r="D36" s="12"/>
      <c r="E36" s="12"/>
      <c r="F36" s="52" t="s">
        <v>5</v>
      </c>
      <c r="G36" s="12">
        <v>610</v>
      </c>
      <c r="H36" s="12" t="s">
        <v>135</v>
      </c>
      <c r="I36" s="49">
        <f>19900+4000</f>
        <v>23900</v>
      </c>
      <c r="J36" s="49">
        <v>23900</v>
      </c>
      <c r="K36" s="198">
        <f t="shared" si="5"/>
        <v>100</v>
      </c>
      <c r="L36" s="49"/>
      <c r="M36" s="49"/>
      <c r="N36" s="198"/>
      <c r="O36" s="49">
        <f t="shared" si="1"/>
        <v>23900</v>
      </c>
      <c r="P36" s="49">
        <f t="shared" si="2"/>
        <v>23900</v>
      </c>
      <c r="Q36" s="203">
        <f t="shared" si="3"/>
        <v>100</v>
      </c>
    </row>
    <row r="37" spans="2:17" x14ac:dyDescent="0.2">
      <c r="B37" s="72">
        <f t="shared" si="4"/>
        <v>29</v>
      </c>
      <c r="C37" s="12"/>
      <c r="D37" s="12"/>
      <c r="E37" s="12"/>
      <c r="F37" s="52" t="s">
        <v>5</v>
      </c>
      <c r="G37" s="12">
        <v>620</v>
      </c>
      <c r="H37" s="12" t="s">
        <v>130</v>
      </c>
      <c r="I37" s="49">
        <f>10900+1400</f>
        <v>12300</v>
      </c>
      <c r="J37" s="49">
        <v>9726</v>
      </c>
      <c r="K37" s="198">
        <f t="shared" si="5"/>
        <v>79.073170731707322</v>
      </c>
      <c r="L37" s="49"/>
      <c r="M37" s="49"/>
      <c r="N37" s="198"/>
      <c r="O37" s="49">
        <f t="shared" si="1"/>
        <v>12300</v>
      </c>
      <c r="P37" s="49">
        <f t="shared" si="2"/>
        <v>9726</v>
      </c>
      <c r="Q37" s="203">
        <f t="shared" si="3"/>
        <v>79.073170731707322</v>
      </c>
    </row>
    <row r="38" spans="2:17" x14ac:dyDescent="0.2">
      <c r="B38" s="72">
        <f t="shared" si="4"/>
        <v>30</v>
      </c>
      <c r="C38" s="12"/>
      <c r="D38" s="12"/>
      <c r="E38" s="12"/>
      <c r="F38" s="52" t="s">
        <v>5</v>
      </c>
      <c r="G38" s="12">
        <v>630</v>
      </c>
      <c r="H38" s="12" t="s">
        <v>127</v>
      </c>
      <c r="I38" s="49">
        <f>I42+I41+I40+I39</f>
        <v>62650</v>
      </c>
      <c r="J38" s="49">
        <f>J42+J41+J40+J39</f>
        <v>27990</v>
      </c>
      <c r="K38" s="198">
        <f t="shared" si="5"/>
        <v>44.676775738228251</v>
      </c>
      <c r="L38" s="49">
        <f>L42+L41+L40+L39</f>
        <v>0</v>
      </c>
      <c r="M38" s="49">
        <f>M42+M41+M40+M39</f>
        <v>0</v>
      </c>
      <c r="N38" s="198"/>
      <c r="O38" s="49">
        <f t="shared" si="1"/>
        <v>62650</v>
      </c>
      <c r="P38" s="49">
        <f t="shared" si="2"/>
        <v>27990</v>
      </c>
      <c r="Q38" s="203">
        <f t="shared" si="3"/>
        <v>44.676775738228251</v>
      </c>
    </row>
    <row r="39" spans="2:17" x14ac:dyDescent="0.2">
      <c r="B39" s="72">
        <f t="shared" si="4"/>
        <v>31</v>
      </c>
      <c r="C39" s="4"/>
      <c r="D39" s="4"/>
      <c r="E39" s="4"/>
      <c r="F39" s="53" t="s">
        <v>5</v>
      </c>
      <c r="G39" s="4">
        <v>633</v>
      </c>
      <c r="H39" s="4" t="s">
        <v>131</v>
      </c>
      <c r="I39" s="23">
        <f>35200-500</f>
        <v>34700</v>
      </c>
      <c r="J39" s="23">
        <v>9712</v>
      </c>
      <c r="K39" s="198">
        <f t="shared" si="5"/>
        <v>27.98847262247839</v>
      </c>
      <c r="L39" s="23"/>
      <c r="M39" s="23"/>
      <c r="N39" s="198"/>
      <c r="O39" s="23">
        <f t="shared" si="1"/>
        <v>34700</v>
      </c>
      <c r="P39" s="23">
        <f t="shared" si="2"/>
        <v>9712</v>
      </c>
      <c r="Q39" s="203">
        <f t="shared" si="3"/>
        <v>27.98847262247839</v>
      </c>
    </row>
    <row r="40" spans="2:17" x14ac:dyDescent="0.2">
      <c r="B40" s="72">
        <f t="shared" si="4"/>
        <v>32</v>
      </c>
      <c r="C40" s="4"/>
      <c r="D40" s="4"/>
      <c r="E40" s="4"/>
      <c r="F40" s="53" t="s">
        <v>5</v>
      </c>
      <c r="G40" s="4">
        <v>634</v>
      </c>
      <c r="H40" s="4" t="s">
        <v>136</v>
      </c>
      <c r="I40" s="23">
        <v>8000</v>
      </c>
      <c r="J40" s="23">
        <v>7132</v>
      </c>
      <c r="K40" s="198">
        <f t="shared" si="5"/>
        <v>89.149999999999991</v>
      </c>
      <c r="L40" s="23"/>
      <c r="M40" s="23"/>
      <c r="N40" s="198"/>
      <c r="O40" s="23">
        <f t="shared" si="1"/>
        <v>8000</v>
      </c>
      <c r="P40" s="23">
        <f t="shared" si="2"/>
        <v>7132</v>
      </c>
      <c r="Q40" s="203">
        <f t="shared" si="3"/>
        <v>89.149999999999991</v>
      </c>
    </row>
    <row r="41" spans="2:17" x14ac:dyDescent="0.2">
      <c r="B41" s="72">
        <f t="shared" ref="B41:B73" si="6">B40+1</f>
        <v>33</v>
      </c>
      <c r="C41" s="4"/>
      <c r="D41" s="4"/>
      <c r="E41" s="4"/>
      <c r="F41" s="53" t="s">
        <v>5</v>
      </c>
      <c r="G41" s="4">
        <v>635</v>
      </c>
      <c r="H41" s="4" t="s">
        <v>137</v>
      </c>
      <c r="I41" s="23">
        <v>500</v>
      </c>
      <c r="J41" s="23">
        <v>150</v>
      </c>
      <c r="K41" s="198">
        <f t="shared" si="5"/>
        <v>30</v>
      </c>
      <c r="L41" s="23"/>
      <c r="M41" s="23"/>
      <c r="N41" s="198"/>
      <c r="O41" s="23">
        <f t="shared" si="1"/>
        <v>500</v>
      </c>
      <c r="P41" s="23">
        <f t="shared" si="2"/>
        <v>150</v>
      </c>
      <c r="Q41" s="203">
        <f t="shared" ref="Q41:Q72" si="7">P41/O41*100</f>
        <v>30</v>
      </c>
    </row>
    <row r="42" spans="2:17" x14ac:dyDescent="0.2">
      <c r="B42" s="72">
        <f t="shared" si="6"/>
        <v>34</v>
      </c>
      <c r="C42" s="4"/>
      <c r="D42" s="4"/>
      <c r="E42" s="4"/>
      <c r="F42" s="53" t="s">
        <v>5</v>
      </c>
      <c r="G42" s="4">
        <v>637</v>
      </c>
      <c r="H42" s="4" t="s">
        <v>128</v>
      </c>
      <c r="I42" s="23">
        <f>13200-100-4150+500+10000</f>
        <v>19450</v>
      </c>
      <c r="J42" s="23">
        <v>10996</v>
      </c>
      <c r="K42" s="198">
        <f t="shared" si="5"/>
        <v>56.534704370179945</v>
      </c>
      <c r="L42" s="23"/>
      <c r="M42" s="23"/>
      <c r="N42" s="198"/>
      <c r="O42" s="23">
        <f t="shared" si="1"/>
        <v>19450</v>
      </c>
      <c r="P42" s="23">
        <f t="shared" si="2"/>
        <v>10996</v>
      </c>
      <c r="Q42" s="203">
        <f t="shared" si="7"/>
        <v>56.534704370179945</v>
      </c>
    </row>
    <row r="43" spans="2:17" x14ac:dyDescent="0.2">
      <c r="B43" s="72">
        <f t="shared" si="6"/>
        <v>35</v>
      </c>
      <c r="C43" s="4"/>
      <c r="D43" s="4"/>
      <c r="E43" s="4"/>
      <c r="F43" s="96" t="s">
        <v>5</v>
      </c>
      <c r="G43" s="3">
        <v>640</v>
      </c>
      <c r="H43" s="3" t="s">
        <v>640</v>
      </c>
      <c r="I43" s="22">
        <v>100</v>
      </c>
      <c r="J43" s="22">
        <v>85</v>
      </c>
      <c r="K43" s="198">
        <f t="shared" si="5"/>
        <v>85</v>
      </c>
      <c r="L43" s="22"/>
      <c r="M43" s="22"/>
      <c r="N43" s="198"/>
      <c r="O43" s="22">
        <f t="shared" si="1"/>
        <v>100</v>
      </c>
      <c r="P43" s="22">
        <f t="shared" si="2"/>
        <v>85</v>
      </c>
      <c r="Q43" s="203">
        <f t="shared" si="7"/>
        <v>85</v>
      </c>
    </row>
    <row r="44" spans="2:17" x14ac:dyDescent="0.2">
      <c r="B44" s="72">
        <f t="shared" si="6"/>
        <v>36</v>
      </c>
      <c r="C44" s="12"/>
      <c r="D44" s="12"/>
      <c r="E44" s="12"/>
      <c r="F44" s="52" t="s">
        <v>5</v>
      </c>
      <c r="G44" s="12">
        <v>710</v>
      </c>
      <c r="H44" s="12" t="s">
        <v>183</v>
      </c>
      <c r="I44" s="49">
        <f>I45</f>
        <v>0</v>
      </c>
      <c r="J44" s="49">
        <f>J45</f>
        <v>0</v>
      </c>
      <c r="K44" s="198"/>
      <c r="L44" s="49">
        <f>L45</f>
        <v>105000</v>
      </c>
      <c r="M44" s="49">
        <f>M45</f>
        <v>104988</v>
      </c>
      <c r="N44" s="198">
        <f t="shared" ref="N44:N88" si="8">M44/L44*100</f>
        <v>99.988571428571433</v>
      </c>
      <c r="O44" s="49">
        <f t="shared" si="1"/>
        <v>105000</v>
      </c>
      <c r="P44" s="49">
        <f t="shared" si="2"/>
        <v>104988</v>
      </c>
      <c r="Q44" s="203">
        <f t="shared" si="7"/>
        <v>99.988571428571433</v>
      </c>
    </row>
    <row r="45" spans="2:17" x14ac:dyDescent="0.2">
      <c r="B45" s="72">
        <f t="shared" si="6"/>
        <v>37</v>
      </c>
      <c r="C45" s="4"/>
      <c r="D45" s="4"/>
      <c r="E45" s="4"/>
      <c r="F45" s="82" t="s">
        <v>5</v>
      </c>
      <c r="G45" s="83">
        <v>714</v>
      </c>
      <c r="H45" s="83" t="s">
        <v>184</v>
      </c>
      <c r="I45" s="84"/>
      <c r="J45" s="84"/>
      <c r="K45" s="198"/>
      <c r="L45" s="84">
        <f>L46</f>
        <v>105000</v>
      </c>
      <c r="M45" s="84">
        <f>M46</f>
        <v>104988</v>
      </c>
      <c r="N45" s="198">
        <f t="shared" si="8"/>
        <v>99.988571428571433</v>
      </c>
      <c r="O45" s="84">
        <f t="shared" si="1"/>
        <v>105000</v>
      </c>
      <c r="P45" s="84">
        <f t="shared" si="2"/>
        <v>104988</v>
      </c>
      <c r="Q45" s="203">
        <f t="shared" si="7"/>
        <v>99.988571428571433</v>
      </c>
    </row>
    <row r="46" spans="2:17" x14ac:dyDescent="0.2">
      <c r="B46" s="72">
        <f t="shared" si="6"/>
        <v>38</v>
      </c>
      <c r="C46" s="4"/>
      <c r="D46" s="4"/>
      <c r="E46" s="4"/>
      <c r="F46" s="53"/>
      <c r="G46" s="4"/>
      <c r="H46" s="4" t="s">
        <v>367</v>
      </c>
      <c r="I46" s="23"/>
      <c r="J46" s="23"/>
      <c r="K46" s="198"/>
      <c r="L46" s="23">
        <v>105000</v>
      </c>
      <c r="M46" s="23">
        <v>104988</v>
      </c>
      <c r="N46" s="198">
        <f t="shared" si="8"/>
        <v>99.988571428571433</v>
      </c>
      <c r="O46" s="23">
        <f t="shared" si="1"/>
        <v>105000</v>
      </c>
      <c r="P46" s="23">
        <f t="shared" si="2"/>
        <v>104988</v>
      </c>
      <c r="Q46" s="203">
        <f t="shared" si="7"/>
        <v>99.988571428571433</v>
      </c>
    </row>
    <row r="47" spans="2:17" ht="15" x14ac:dyDescent="0.2">
      <c r="B47" s="72">
        <f t="shared" si="6"/>
        <v>39</v>
      </c>
      <c r="C47" s="179">
        <v>3</v>
      </c>
      <c r="D47" s="257" t="s">
        <v>10</v>
      </c>
      <c r="E47" s="253"/>
      <c r="F47" s="253"/>
      <c r="G47" s="253"/>
      <c r="H47" s="254"/>
      <c r="I47" s="45">
        <f>I48</f>
        <v>0</v>
      </c>
      <c r="J47" s="45">
        <f>J48</f>
        <v>0</v>
      </c>
      <c r="K47" s="198"/>
      <c r="L47" s="45">
        <f>L48+L146</f>
        <v>3306517</v>
      </c>
      <c r="M47" s="45">
        <f>M48+M146</f>
        <v>2009221</v>
      </c>
      <c r="N47" s="198">
        <f t="shared" si="8"/>
        <v>60.765482227975845</v>
      </c>
      <c r="O47" s="45">
        <f t="shared" si="1"/>
        <v>3306517</v>
      </c>
      <c r="P47" s="45">
        <f t="shared" si="2"/>
        <v>2009221</v>
      </c>
      <c r="Q47" s="203">
        <f t="shared" si="7"/>
        <v>60.765482227975845</v>
      </c>
    </row>
    <row r="48" spans="2:17" x14ac:dyDescent="0.2">
      <c r="B48" s="72">
        <f t="shared" si="6"/>
        <v>40</v>
      </c>
      <c r="C48" s="12"/>
      <c r="D48" s="12"/>
      <c r="E48" s="12"/>
      <c r="F48" s="52" t="s">
        <v>5</v>
      </c>
      <c r="G48" s="12">
        <v>710</v>
      </c>
      <c r="H48" s="12" t="s">
        <v>183</v>
      </c>
      <c r="I48" s="49">
        <f>I85+I51</f>
        <v>0</v>
      </c>
      <c r="J48" s="49">
        <f>J85+J51</f>
        <v>0</v>
      </c>
      <c r="K48" s="198"/>
      <c r="L48" s="49">
        <f>L85+L51+L49</f>
        <v>3027841</v>
      </c>
      <c r="M48" s="49">
        <f>M85+M51+M49</f>
        <v>1730997</v>
      </c>
      <c r="N48" s="198">
        <f t="shared" si="8"/>
        <v>57.169349381291823</v>
      </c>
      <c r="O48" s="49">
        <f>I48+L48+O49</f>
        <v>3047841</v>
      </c>
      <c r="P48" s="49">
        <f>J48+M48+P49</f>
        <v>1750997</v>
      </c>
      <c r="Q48" s="203">
        <f t="shared" si="7"/>
        <v>57.450405057219186</v>
      </c>
    </row>
    <row r="49" spans="2:17" x14ac:dyDescent="0.2">
      <c r="B49" s="72">
        <f t="shared" si="6"/>
        <v>41</v>
      </c>
      <c r="C49" s="12"/>
      <c r="D49" s="12"/>
      <c r="E49" s="12"/>
      <c r="F49" s="82" t="s">
        <v>5</v>
      </c>
      <c r="G49" s="83">
        <v>712</v>
      </c>
      <c r="H49" s="83" t="s">
        <v>243</v>
      </c>
      <c r="I49" s="84"/>
      <c r="J49" s="84"/>
      <c r="K49" s="195"/>
      <c r="L49" s="84">
        <f>L50</f>
        <v>20000</v>
      </c>
      <c r="M49" s="84">
        <f>M50</f>
        <v>20000</v>
      </c>
      <c r="N49" s="198">
        <f t="shared" si="8"/>
        <v>100</v>
      </c>
      <c r="O49" s="84">
        <f>O50</f>
        <v>20000</v>
      </c>
      <c r="P49" s="84">
        <f>P50</f>
        <v>20000</v>
      </c>
      <c r="Q49" s="203">
        <f t="shared" si="7"/>
        <v>100</v>
      </c>
    </row>
    <row r="50" spans="2:17" x14ac:dyDescent="0.2">
      <c r="B50" s="72">
        <f t="shared" si="6"/>
        <v>42</v>
      </c>
      <c r="C50" s="12"/>
      <c r="D50" s="12"/>
      <c r="E50" s="12"/>
      <c r="F50" s="52"/>
      <c r="G50" s="12"/>
      <c r="H50" s="60" t="s">
        <v>588</v>
      </c>
      <c r="I50" s="49"/>
      <c r="J50" s="49"/>
      <c r="K50" s="195"/>
      <c r="L50" s="58">
        <v>20000</v>
      </c>
      <c r="M50" s="58">
        <v>20000</v>
      </c>
      <c r="N50" s="198">
        <f t="shared" si="8"/>
        <v>100</v>
      </c>
      <c r="O50" s="58">
        <f>L50</f>
        <v>20000</v>
      </c>
      <c r="P50" s="58">
        <f>M50</f>
        <v>20000</v>
      </c>
      <c r="Q50" s="203">
        <f t="shared" si="7"/>
        <v>100</v>
      </c>
    </row>
    <row r="51" spans="2:17" x14ac:dyDescent="0.2">
      <c r="B51" s="72">
        <f t="shared" si="6"/>
        <v>43</v>
      </c>
      <c r="C51" s="4"/>
      <c r="D51" s="4"/>
      <c r="E51" s="4"/>
      <c r="F51" s="82" t="s">
        <v>5</v>
      </c>
      <c r="G51" s="83">
        <v>716</v>
      </c>
      <c r="H51" s="83" t="s">
        <v>0</v>
      </c>
      <c r="I51" s="84"/>
      <c r="J51" s="84"/>
      <c r="K51" s="195"/>
      <c r="L51" s="84">
        <f>SUM(L52:L84)</f>
        <v>281678</v>
      </c>
      <c r="M51" s="84">
        <f>SUM(M52:M84)</f>
        <v>145263</v>
      </c>
      <c r="N51" s="198">
        <f t="shared" si="8"/>
        <v>51.570587692329539</v>
      </c>
      <c r="O51" s="84">
        <f t="shared" ref="O51:O82" si="9">I51+L51</f>
        <v>281678</v>
      </c>
      <c r="P51" s="84">
        <f t="shared" ref="P51:P82" si="10">J51+M51</f>
        <v>145263</v>
      </c>
      <c r="Q51" s="203">
        <f t="shared" si="7"/>
        <v>51.570587692329539</v>
      </c>
    </row>
    <row r="52" spans="2:17" x14ac:dyDescent="0.2">
      <c r="B52" s="72">
        <f t="shared" si="6"/>
        <v>44</v>
      </c>
      <c r="C52" s="4"/>
      <c r="D52" s="4"/>
      <c r="E52" s="4"/>
      <c r="F52" s="53"/>
      <c r="G52" s="4"/>
      <c r="H52" s="4" t="s">
        <v>433</v>
      </c>
      <c r="I52" s="23"/>
      <c r="J52" s="23"/>
      <c r="K52" s="195"/>
      <c r="L52" s="23">
        <v>150000</v>
      </c>
      <c r="M52" s="23">
        <f>2151+106128</f>
        <v>108279</v>
      </c>
      <c r="N52" s="198">
        <f t="shared" si="8"/>
        <v>72.185999999999993</v>
      </c>
      <c r="O52" s="23">
        <f t="shared" si="9"/>
        <v>150000</v>
      </c>
      <c r="P52" s="23">
        <f t="shared" si="10"/>
        <v>108279</v>
      </c>
      <c r="Q52" s="203">
        <f t="shared" si="7"/>
        <v>72.185999999999993</v>
      </c>
    </row>
    <row r="53" spans="2:17" x14ac:dyDescent="0.2">
      <c r="B53" s="72">
        <f t="shared" si="6"/>
        <v>45</v>
      </c>
      <c r="C53" s="4"/>
      <c r="D53" s="4"/>
      <c r="E53" s="4"/>
      <c r="F53" s="53"/>
      <c r="G53" s="4"/>
      <c r="H53" s="4" t="s">
        <v>463</v>
      </c>
      <c r="I53" s="23"/>
      <c r="J53" s="23"/>
      <c r="K53" s="195"/>
      <c r="L53" s="23">
        <f>10000+20000+20000</f>
        <v>50000</v>
      </c>
      <c r="M53" s="23">
        <v>2133</v>
      </c>
      <c r="N53" s="198">
        <f t="shared" si="8"/>
        <v>4.266</v>
      </c>
      <c r="O53" s="23">
        <f t="shared" si="9"/>
        <v>50000</v>
      </c>
      <c r="P53" s="23">
        <f t="shared" si="10"/>
        <v>2133</v>
      </c>
      <c r="Q53" s="203">
        <f t="shared" si="7"/>
        <v>4.266</v>
      </c>
    </row>
    <row r="54" spans="2:17" x14ac:dyDescent="0.2">
      <c r="B54" s="72">
        <f t="shared" si="6"/>
        <v>46</v>
      </c>
      <c r="C54" s="4"/>
      <c r="D54" s="4"/>
      <c r="E54" s="4"/>
      <c r="F54" s="53"/>
      <c r="G54" s="4"/>
      <c r="H54" s="4" t="s">
        <v>471</v>
      </c>
      <c r="I54" s="23"/>
      <c r="J54" s="23"/>
      <c r="K54" s="195"/>
      <c r="L54" s="23">
        <v>3500</v>
      </c>
      <c r="M54" s="23"/>
      <c r="N54" s="198">
        <f t="shared" si="8"/>
        <v>0</v>
      </c>
      <c r="O54" s="23">
        <f t="shared" si="9"/>
        <v>3500</v>
      </c>
      <c r="P54" s="23">
        <f t="shared" si="10"/>
        <v>0</v>
      </c>
      <c r="Q54" s="203">
        <f t="shared" si="7"/>
        <v>0</v>
      </c>
    </row>
    <row r="55" spans="2:17" x14ac:dyDescent="0.2">
      <c r="B55" s="72">
        <f t="shared" si="6"/>
        <v>47</v>
      </c>
      <c r="C55" s="4"/>
      <c r="D55" s="4"/>
      <c r="E55" s="4"/>
      <c r="F55" s="53"/>
      <c r="G55" s="4"/>
      <c r="H55" s="4" t="s">
        <v>470</v>
      </c>
      <c r="I55" s="23"/>
      <c r="J55" s="23"/>
      <c r="K55" s="195"/>
      <c r="L55" s="23">
        <v>3000</v>
      </c>
      <c r="M55" s="23">
        <v>800</v>
      </c>
      <c r="N55" s="198">
        <f t="shared" si="8"/>
        <v>26.666666666666668</v>
      </c>
      <c r="O55" s="23">
        <f t="shared" si="9"/>
        <v>3000</v>
      </c>
      <c r="P55" s="23">
        <f t="shared" si="10"/>
        <v>800</v>
      </c>
      <c r="Q55" s="203">
        <f t="shared" si="7"/>
        <v>26.666666666666668</v>
      </c>
    </row>
    <row r="56" spans="2:17" x14ac:dyDescent="0.2">
      <c r="B56" s="72">
        <f t="shared" si="6"/>
        <v>48</v>
      </c>
      <c r="C56" s="4"/>
      <c r="D56" s="4"/>
      <c r="E56" s="4"/>
      <c r="F56" s="53"/>
      <c r="G56" s="4"/>
      <c r="H56" s="4" t="s">
        <v>507</v>
      </c>
      <c r="I56" s="23"/>
      <c r="J56" s="23"/>
      <c r="K56" s="195"/>
      <c r="L56" s="23">
        <v>2000</v>
      </c>
      <c r="M56" s="23">
        <v>2000</v>
      </c>
      <c r="N56" s="198">
        <f t="shared" si="8"/>
        <v>100</v>
      </c>
      <c r="O56" s="23">
        <f t="shared" si="9"/>
        <v>2000</v>
      </c>
      <c r="P56" s="23">
        <f t="shared" si="10"/>
        <v>2000</v>
      </c>
      <c r="Q56" s="203">
        <f t="shared" si="7"/>
        <v>100</v>
      </c>
    </row>
    <row r="57" spans="2:17" x14ac:dyDescent="0.2">
      <c r="B57" s="72">
        <f t="shared" si="6"/>
        <v>49</v>
      </c>
      <c r="C57" s="4"/>
      <c r="D57" s="4"/>
      <c r="E57" s="4"/>
      <c r="F57" s="53"/>
      <c r="G57" s="4"/>
      <c r="H57" s="4" t="s">
        <v>431</v>
      </c>
      <c r="I57" s="23"/>
      <c r="J57" s="23"/>
      <c r="K57" s="195"/>
      <c r="L57" s="23">
        <v>1100</v>
      </c>
      <c r="M57" s="23">
        <v>400</v>
      </c>
      <c r="N57" s="198">
        <f t="shared" si="8"/>
        <v>36.363636363636367</v>
      </c>
      <c r="O57" s="23">
        <f t="shared" si="9"/>
        <v>1100</v>
      </c>
      <c r="P57" s="23">
        <f t="shared" si="10"/>
        <v>400</v>
      </c>
      <c r="Q57" s="203">
        <f t="shared" si="7"/>
        <v>36.363636363636367</v>
      </c>
    </row>
    <row r="58" spans="2:17" x14ac:dyDescent="0.2">
      <c r="B58" s="72">
        <f t="shared" si="6"/>
        <v>50</v>
      </c>
      <c r="C58" s="4"/>
      <c r="D58" s="4"/>
      <c r="E58" s="4"/>
      <c r="F58" s="53"/>
      <c r="G58" s="4"/>
      <c r="H58" s="4" t="s">
        <v>474</v>
      </c>
      <c r="I58" s="23"/>
      <c r="J58" s="23"/>
      <c r="K58" s="195"/>
      <c r="L58" s="23">
        <v>750</v>
      </c>
      <c r="M58" s="23">
        <v>200</v>
      </c>
      <c r="N58" s="198">
        <f t="shared" si="8"/>
        <v>26.666666666666668</v>
      </c>
      <c r="O58" s="23">
        <f t="shared" si="9"/>
        <v>750</v>
      </c>
      <c r="P58" s="23">
        <f t="shared" si="10"/>
        <v>200</v>
      </c>
      <c r="Q58" s="203">
        <f t="shared" si="7"/>
        <v>26.666666666666668</v>
      </c>
    </row>
    <row r="59" spans="2:17" x14ac:dyDescent="0.2">
      <c r="B59" s="72">
        <f t="shared" si="6"/>
        <v>51</v>
      </c>
      <c r="C59" s="4"/>
      <c r="D59" s="4"/>
      <c r="E59" s="4"/>
      <c r="F59" s="53"/>
      <c r="G59" s="4"/>
      <c r="H59" s="4" t="s">
        <v>622</v>
      </c>
      <c r="I59" s="23"/>
      <c r="J59" s="23"/>
      <c r="K59" s="195"/>
      <c r="L59" s="23">
        <v>250</v>
      </c>
      <c r="M59" s="23">
        <v>250</v>
      </c>
      <c r="N59" s="198">
        <f t="shared" si="8"/>
        <v>100</v>
      </c>
      <c r="O59" s="23">
        <f t="shared" si="9"/>
        <v>250</v>
      </c>
      <c r="P59" s="23">
        <f t="shared" si="10"/>
        <v>250</v>
      </c>
      <c r="Q59" s="203">
        <f t="shared" si="7"/>
        <v>100</v>
      </c>
    </row>
    <row r="60" spans="2:17" x14ac:dyDescent="0.2">
      <c r="B60" s="72">
        <f t="shared" si="6"/>
        <v>52</v>
      </c>
      <c r="C60" s="4"/>
      <c r="D60" s="4"/>
      <c r="E60" s="4"/>
      <c r="F60" s="53"/>
      <c r="G60" s="4"/>
      <c r="H60" s="4" t="s">
        <v>630</v>
      </c>
      <c r="I60" s="23"/>
      <c r="J60" s="23"/>
      <c r="K60" s="195"/>
      <c r="L60" s="23">
        <v>6000</v>
      </c>
      <c r="M60" s="23">
        <v>5880</v>
      </c>
      <c r="N60" s="198">
        <f t="shared" si="8"/>
        <v>98</v>
      </c>
      <c r="O60" s="23">
        <f t="shared" si="9"/>
        <v>6000</v>
      </c>
      <c r="P60" s="23">
        <f t="shared" si="10"/>
        <v>5880</v>
      </c>
      <c r="Q60" s="203">
        <f t="shared" si="7"/>
        <v>98</v>
      </c>
    </row>
    <row r="61" spans="2:17" x14ac:dyDescent="0.2">
      <c r="B61" s="72">
        <f t="shared" si="6"/>
        <v>53</v>
      </c>
      <c r="C61" s="75"/>
      <c r="D61" s="75"/>
      <c r="E61" s="75"/>
      <c r="F61" s="76"/>
      <c r="G61" s="75"/>
      <c r="H61" s="138" t="s">
        <v>550</v>
      </c>
      <c r="I61" s="134"/>
      <c r="J61" s="134"/>
      <c r="K61" s="195"/>
      <c r="L61" s="134">
        <v>1000</v>
      </c>
      <c r="M61" s="134"/>
      <c r="N61" s="198">
        <f t="shared" si="8"/>
        <v>0</v>
      </c>
      <c r="O61" s="134">
        <f t="shared" si="9"/>
        <v>1000</v>
      </c>
      <c r="P61" s="134">
        <f t="shared" si="10"/>
        <v>0</v>
      </c>
      <c r="Q61" s="203">
        <f t="shared" si="7"/>
        <v>0</v>
      </c>
    </row>
    <row r="62" spans="2:17" ht="24" x14ac:dyDescent="0.2">
      <c r="B62" s="72">
        <f t="shared" si="6"/>
        <v>54</v>
      </c>
      <c r="C62" s="75"/>
      <c r="D62" s="75"/>
      <c r="E62" s="75"/>
      <c r="F62" s="76"/>
      <c r="G62" s="75"/>
      <c r="H62" s="139" t="s">
        <v>551</v>
      </c>
      <c r="I62" s="134"/>
      <c r="J62" s="134"/>
      <c r="K62" s="195"/>
      <c r="L62" s="134">
        <f>1500+4800</f>
        <v>6300</v>
      </c>
      <c r="M62" s="134">
        <v>330</v>
      </c>
      <c r="N62" s="198">
        <f t="shared" si="8"/>
        <v>5.2380952380952381</v>
      </c>
      <c r="O62" s="134">
        <f t="shared" si="9"/>
        <v>6300</v>
      </c>
      <c r="P62" s="134">
        <f t="shared" si="10"/>
        <v>330</v>
      </c>
      <c r="Q62" s="203">
        <f t="shared" si="7"/>
        <v>5.2380952380952381</v>
      </c>
    </row>
    <row r="63" spans="2:17" ht="24" x14ac:dyDescent="0.2">
      <c r="B63" s="72">
        <f t="shared" si="6"/>
        <v>55</v>
      </c>
      <c r="C63" s="75"/>
      <c r="D63" s="75"/>
      <c r="E63" s="75"/>
      <c r="F63" s="76"/>
      <c r="G63" s="75"/>
      <c r="H63" s="139" t="s">
        <v>552</v>
      </c>
      <c r="I63" s="134"/>
      <c r="J63" s="134"/>
      <c r="K63" s="195"/>
      <c r="L63" s="134">
        <v>750</v>
      </c>
      <c r="M63" s="134">
        <v>750</v>
      </c>
      <c r="N63" s="198">
        <f t="shared" si="8"/>
        <v>100</v>
      </c>
      <c r="O63" s="134">
        <f t="shared" si="9"/>
        <v>750</v>
      </c>
      <c r="P63" s="134">
        <f t="shared" si="10"/>
        <v>750</v>
      </c>
      <c r="Q63" s="203">
        <f t="shared" si="7"/>
        <v>100</v>
      </c>
    </row>
    <row r="64" spans="2:17" x14ac:dyDescent="0.2">
      <c r="B64" s="72">
        <f t="shared" si="6"/>
        <v>56</v>
      </c>
      <c r="C64" s="75"/>
      <c r="D64" s="75"/>
      <c r="E64" s="75"/>
      <c r="F64" s="76"/>
      <c r="G64" s="75"/>
      <c r="H64" s="138" t="s">
        <v>553</v>
      </c>
      <c r="I64" s="134"/>
      <c r="J64" s="134"/>
      <c r="K64" s="195"/>
      <c r="L64" s="134">
        <f>750+300</f>
        <v>1050</v>
      </c>
      <c r="M64" s="134"/>
      <c r="N64" s="198">
        <f t="shared" si="8"/>
        <v>0</v>
      </c>
      <c r="O64" s="134">
        <f t="shared" si="9"/>
        <v>1050</v>
      </c>
      <c r="P64" s="134">
        <f t="shared" si="10"/>
        <v>0</v>
      </c>
      <c r="Q64" s="203">
        <f t="shared" si="7"/>
        <v>0</v>
      </c>
    </row>
    <row r="65" spans="2:17" x14ac:dyDescent="0.2">
      <c r="B65" s="72">
        <f t="shared" si="6"/>
        <v>57</v>
      </c>
      <c r="C65" s="75"/>
      <c r="D65" s="75"/>
      <c r="E65" s="75"/>
      <c r="F65" s="76"/>
      <c r="G65" s="75"/>
      <c r="H65" s="138" t="s">
        <v>554</v>
      </c>
      <c r="I65" s="134"/>
      <c r="J65" s="134"/>
      <c r="K65" s="195"/>
      <c r="L65" s="134">
        <v>750</v>
      </c>
      <c r="M65" s="134"/>
      <c r="N65" s="198">
        <f t="shared" si="8"/>
        <v>0</v>
      </c>
      <c r="O65" s="134">
        <f t="shared" si="9"/>
        <v>750</v>
      </c>
      <c r="P65" s="134">
        <f t="shared" si="10"/>
        <v>0</v>
      </c>
      <c r="Q65" s="203">
        <f t="shared" si="7"/>
        <v>0</v>
      </c>
    </row>
    <row r="66" spans="2:17" x14ac:dyDescent="0.2">
      <c r="B66" s="72">
        <f t="shared" si="6"/>
        <v>58</v>
      </c>
      <c r="C66" s="75"/>
      <c r="D66" s="75"/>
      <c r="E66" s="75"/>
      <c r="F66" s="76"/>
      <c r="G66" s="75"/>
      <c r="H66" s="138" t="s">
        <v>733</v>
      </c>
      <c r="I66" s="134"/>
      <c r="J66" s="134"/>
      <c r="K66" s="195"/>
      <c r="L66" s="134">
        <v>500</v>
      </c>
      <c r="M66" s="134"/>
      <c r="N66" s="198">
        <f t="shared" si="8"/>
        <v>0</v>
      </c>
      <c r="O66" s="134">
        <f t="shared" si="9"/>
        <v>500</v>
      </c>
      <c r="P66" s="134">
        <f t="shared" si="10"/>
        <v>0</v>
      </c>
      <c r="Q66" s="203">
        <f t="shared" si="7"/>
        <v>0</v>
      </c>
    </row>
    <row r="67" spans="2:17" ht="24" x14ac:dyDescent="0.2">
      <c r="B67" s="72">
        <f t="shared" si="6"/>
        <v>59</v>
      </c>
      <c r="C67" s="75"/>
      <c r="D67" s="75"/>
      <c r="E67" s="75"/>
      <c r="F67" s="76"/>
      <c r="G67" s="75"/>
      <c r="H67" s="140" t="s">
        <v>544</v>
      </c>
      <c r="I67" s="127"/>
      <c r="J67" s="127"/>
      <c r="K67" s="195"/>
      <c r="L67" s="127">
        <v>4200</v>
      </c>
      <c r="M67" s="127"/>
      <c r="N67" s="198">
        <f t="shared" si="8"/>
        <v>0</v>
      </c>
      <c r="O67" s="127">
        <f t="shared" si="9"/>
        <v>4200</v>
      </c>
      <c r="P67" s="127">
        <f t="shared" si="10"/>
        <v>0</v>
      </c>
      <c r="Q67" s="203">
        <f t="shared" si="7"/>
        <v>0</v>
      </c>
    </row>
    <row r="68" spans="2:17" ht="24" x14ac:dyDescent="0.2">
      <c r="B68" s="72">
        <f t="shared" si="6"/>
        <v>60</v>
      </c>
      <c r="C68" s="75"/>
      <c r="D68" s="75"/>
      <c r="E68" s="75"/>
      <c r="F68" s="76"/>
      <c r="G68" s="75"/>
      <c r="H68" s="140" t="s">
        <v>547</v>
      </c>
      <c r="I68" s="127"/>
      <c r="J68" s="127"/>
      <c r="K68" s="195"/>
      <c r="L68" s="127">
        <v>4200</v>
      </c>
      <c r="M68" s="127">
        <v>4050</v>
      </c>
      <c r="N68" s="198">
        <f t="shared" si="8"/>
        <v>96.428571428571431</v>
      </c>
      <c r="O68" s="127">
        <f t="shared" si="9"/>
        <v>4200</v>
      </c>
      <c r="P68" s="127">
        <f t="shared" si="10"/>
        <v>4050</v>
      </c>
      <c r="Q68" s="203">
        <f t="shared" si="7"/>
        <v>96.428571428571431</v>
      </c>
    </row>
    <row r="69" spans="2:17" x14ac:dyDescent="0.2">
      <c r="B69" s="72">
        <f t="shared" si="6"/>
        <v>61</v>
      </c>
      <c r="C69" s="75"/>
      <c r="D69" s="75"/>
      <c r="E69" s="75"/>
      <c r="F69" s="76"/>
      <c r="G69" s="75"/>
      <c r="H69" s="140" t="s">
        <v>678</v>
      </c>
      <c r="I69" s="127"/>
      <c r="J69" s="127"/>
      <c r="K69" s="195"/>
      <c r="L69" s="127">
        <f>3500+250</f>
        <v>3750</v>
      </c>
      <c r="M69" s="127">
        <v>3481</v>
      </c>
      <c r="N69" s="198">
        <f t="shared" si="8"/>
        <v>92.826666666666668</v>
      </c>
      <c r="O69" s="127">
        <f t="shared" si="9"/>
        <v>3750</v>
      </c>
      <c r="P69" s="127">
        <f t="shared" si="10"/>
        <v>3481</v>
      </c>
      <c r="Q69" s="203">
        <f t="shared" si="7"/>
        <v>92.826666666666668</v>
      </c>
    </row>
    <row r="70" spans="2:17" ht="36" x14ac:dyDescent="0.2">
      <c r="B70" s="72">
        <f t="shared" si="6"/>
        <v>62</v>
      </c>
      <c r="C70" s="75"/>
      <c r="D70" s="75"/>
      <c r="E70" s="75"/>
      <c r="F70" s="76"/>
      <c r="G70" s="75"/>
      <c r="H70" s="77" t="s">
        <v>499</v>
      </c>
      <c r="I70" s="62"/>
      <c r="J70" s="62"/>
      <c r="K70" s="195"/>
      <c r="L70" s="62">
        <v>600</v>
      </c>
      <c r="M70" s="62">
        <v>578</v>
      </c>
      <c r="N70" s="198">
        <f t="shared" si="8"/>
        <v>96.333333333333343</v>
      </c>
      <c r="O70" s="62">
        <f t="shared" si="9"/>
        <v>600</v>
      </c>
      <c r="P70" s="62">
        <f t="shared" si="10"/>
        <v>578</v>
      </c>
      <c r="Q70" s="203">
        <f t="shared" si="7"/>
        <v>96.333333333333343</v>
      </c>
    </row>
    <row r="71" spans="2:17" x14ac:dyDescent="0.2">
      <c r="B71" s="72">
        <f t="shared" si="6"/>
        <v>63</v>
      </c>
      <c r="C71" s="75"/>
      <c r="D71" s="75"/>
      <c r="E71" s="75"/>
      <c r="F71" s="76"/>
      <c r="G71" s="75"/>
      <c r="H71" s="75" t="s">
        <v>500</v>
      </c>
      <c r="I71" s="62"/>
      <c r="J71" s="62"/>
      <c r="K71" s="195"/>
      <c r="L71" s="62">
        <v>400</v>
      </c>
      <c r="M71" s="62">
        <v>400</v>
      </c>
      <c r="N71" s="198">
        <f t="shared" si="8"/>
        <v>100</v>
      </c>
      <c r="O71" s="62">
        <f t="shared" si="9"/>
        <v>400</v>
      </c>
      <c r="P71" s="62">
        <f t="shared" si="10"/>
        <v>400</v>
      </c>
      <c r="Q71" s="203">
        <f t="shared" si="7"/>
        <v>100</v>
      </c>
    </row>
    <row r="72" spans="2:17" ht="24" x14ac:dyDescent="0.2">
      <c r="B72" s="72">
        <f t="shared" si="6"/>
        <v>64</v>
      </c>
      <c r="C72" s="75"/>
      <c r="D72" s="75"/>
      <c r="E72" s="75"/>
      <c r="F72" s="76"/>
      <c r="G72" s="75"/>
      <c r="H72" s="141" t="s">
        <v>569</v>
      </c>
      <c r="I72" s="136"/>
      <c r="J72" s="136"/>
      <c r="K72" s="195"/>
      <c r="L72" s="136">
        <v>600</v>
      </c>
      <c r="M72" s="136">
        <v>600</v>
      </c>
      <c r="N72" s="198">
        <f t="shared" si="8"/>
        <v>100</v>
      </c>
      <c r="O72" s="136">
        <f t="shared" si="9"/>
        <v>600</v>
      </c>
      <c r="P72" s="136">
        <f t="shared" si="10"/>
        <v>600</v>
      </c>
      <c r="Q72" s="203">
        <f t="shared" si="7"/>
        <v>100</v>
      </c>
    </row>
    <row r="73" spans="2:17" x14ac:dyDescent="0.2">
      <c r="B73" s="72">
        <f t="shared" si="6"/>
        <v>65</v>
      </c>
      <c r="C73" s="4"/>
      <c r="D73" s="4"/>
      <c r="E73" s="4"/>
      <c r="F73" s="53"/>
      <c r="G73" s="4"/>
      <c r="H73" s="4" t="s">
        <v>508</v>
      </c>
      <c r="I73" s="23"/>
      <c r="J73" s="23"/>
      <c r="K73" s="195"/>
      <c r="L73" s="23">
        <f>10000+5696</f>
        <v>15696</v>
      </c>
      <c r="M73" s="23"/>
      <c r="N73" s="198">
        <f t="shared" si="8"/>
        <v>0</v>
      </c>
      <c r="O73" s="23">
        <f t="shared" si="9"/>
        <v>15696</v>
      </c>
      <c r="P73" s="23">
        <f t="shared" si="10"/>
        <v>0</v>
      </c>
      <c r="Q73" s="203">
        <f t="shared" ref="Q73:Q88" si="11">P73/O73*100</f>
        <v>0</v>
      </c>
    </row>
    <row r="74" spans="2:17" x14ac:dyDescent="0.2">
      <c r="B74" s="72">
        <f t="shared" ref="B74:B101" si="12">B73+1</f>
        <v>66</v>
      </c>
      <c r="C74" s="4"/>
      <c r="D74" s="4"/>
      <c r="E74" s="4"/>
      <c r="F74" s="53"/>
      <c r="G74" s="4"/>
      <c r="H74" s="4" t="s">
        <v>509</v>
      </c>
      <c r="I74" s="23"/>
      <c r="J74" s="23"/>
      <c r="K74" s="195"/>
      <c r="L74" s="23">
        <v>3500</v>
      </c>
      <c r="M74" s="23">
        <v>500</v>
      </c>
      <c r="N74" s="198">
        <f t="shared" si="8"/>
        <v>14.285714285714285</v>
      </c>
      <c r="O74" s="23">
        <f t="shared" si="9"/>
        <v>3500</v>
      </c>
      <c r="P74" s="23">
        <f t="shared" si="10"/>
        <v>500</v>
      </c>
      <c r="Q74" s="203">
        <f t="shared" si="11"/>
        <v>14.285714285714285</v>
      </c>
    </row>
    <row r="75" spans="2:17" x14ac:dyDescent="0.2">
      <c r="B75" s="72">
        <f t="shared" si="12"/>
        <v>67</v>
      </c>
      <c r="C75" s="4"/>
      <c r="D75" s="4"/>
      <c r="E75" s="4"/>
      <c r="F75" s="53"/>
      <c r="G75" s="4"/>
      <c r="H75" s="4" t="s">
        <v>510</v>
      </c>
      <c r="I75" s="23"/>
      <c r="J75" s="23"/>
      <c r="K75" s="195"/>
      <c r="L75" s="23">
        <v>5000</v>
      </c>
      <c r="M75" s="23">
        <v>5000</v>
      </c>
      <c r="N75" s="198">
        <f t="shared" si="8"/>
        <v>100</v>
      </c>
      <c r="O75" s="23">
        <f t="shared" si="9"/>
        <v>5000</v>
      </c>
      <c r="P75" s="23">
        <f t="shared" si="10"/>
        <v>5000</v>
      </c>
      <c r="Q75" s="203">
        <f t="shared" si="11"/>
        <v>100</v>
      </c>
    </row>
    <row r="76" spans="2:17" x14ac:dyDescent="0.2">
      <c r="B76" s="72">
        <f t="shared" si="12"/>
        <v>68</v>
      </c>
      <c r="C76" s="4"/>
      <c r="D76" s="4"/>
      <c r="E76" s="4"/>
      <c r="F76" s="53"/>
      <c r="G76" s="4"/>
      <c r="H76" s="4" t="s">
        <v>541</v>
      </c>
      <c r="I76" s="23"/>
      <c r="J76" s="23"/>
      <c r="K76" s="195"/>
      <c r="L76" s="23">
        <v>1700</v>
      </c>
      <c r="M76" s="23">
        <v>1700</v>
      </c>
      <c r="N76" s="198">
        <f t="shared" si="8"/>
        <v>100</v>
      </c>
      <c r="O76" s="23">
        <f t="shared" si="9"/>
        <v>1700</v>
      </c>
      <c r="P76" s="23">
        <f t="shared" si="10"/>
        <v>1700</v>
      </c>
      <c r="Q76" s="203">
        <f t="shared" si="11"/>
        <v>100</v>
      </c>
    </row>
    <row r="77" spans="2:17" x14ac:dyDescent="0.2">
      <c r="B77" s="72">
        <f t="shared" si="12"/>
        <v>69</v>
      </c>
      <c r="C77" s="4"/>
      <c r="D77" s="4"/>
      <c r="E77" s="4"/>
      <c r="F77" s="53"/>
      <c r="G77" s="4"/>
      <c r="H77" s="115" t="s">
        <v>528</v>
      </c>
      <c r="I77" s="114"/>
      <c r="J77" s="114"/>
      <c r="K77" s="195"/>
      <c r="L77" s="114">
        <v>600</v>
      </c>
      <c r="M77" s="114">
        <v>600</v>
      </c>
      <c r="N77" s="198">
        <f t="shared" si="8"/>
        <v>100</v>
      </c>
      <c r="O77" s="114">
        <f t="shared" si="9"/>
        <v>600</v>
      </c>
      <c r="P77" s="114">
        <f t="shared" si="10"/>
        <v>600</v>
      </c>
      <c r="Q77" s="203">
        <f t="shared" si="11"/>
        <v>100</v>
      </c>
    </row>
    <row r="78" spans="2:17" x14ac:dyDescent="0.2">
      <c r="B78" s="72">
        <f t="shared" si="12"/>
        <v>70</v>
      </c>
      <c r="C78" s="4"/>
      <c r="D78" s="4"/>
      <c r="E78" s="4"/>
      <c r="F78" s="53"/>
      <c r="G78" s="4"/>
      <c r="H78" s="116" t="s">
        <v>621</v>
      </c>
      <c r="I78" s="117"/>
      <c r="J78" s="117"/>
      <c r="K78" s="195"/>
      <c r="L78" s="117">
        <v>2350</v>
      </c>
      <c r="M78" s="117">
        <v>1600</v>
      </c>
      <c r="N78" s="198">
        <f t="shared" si="8"/>
        <v>68.085106382978722</v>
      </c>
      <c r="O78" s="117">
        <f t="shared" si="9"/>
        <v>2350</v>
      </c>
      <c r="P78" s="117">
        <f t="shared" si="10"/>
        <v>1600</v>
      </c>
      <c r="Q78" s="203">
        <f t="shared" si="11"/>
        <v>68.085106382978722</v>
      </c>
    </row>
    <row r="79" spans="2:17" ht="24" x14ac:dyDescent="0.2">
      <c r="B79" s="72">
        <f t="shared" si="12"/>
        <v>71</v>
      </c>
      <c r="C79" s="4"/>
      <c r="D79" s="4"/>
      <c r="E79" s="4"/>
      <c r="F79" s="53"/>
      <c r="G79" s="4"/>
      <c r="H79" s="116" t="s">
        <v>751</v>
      </c>
      <c r="I79" s="117"/>
      <c r="J79" s="117"/>
      <c r="K79" s="195"/>
      <c r="L79" s="117">
        <v>582</v>
      </c>
      <c r="M79" s="117">
        <v>582</v>
      </c>
      <c r="N79" s="198">
        <f t="shared" si="8"/>
        <v>100</v>
      </c>
      <c r="O79" s="117">
        <f t="shared" si="9"/>
        <v>582</v>
      </c>
      <c r="P79" s="117">
        <f t="shared" si="10"/>
        <v>582</v>
      </c>
      <c r="Q79" s="203">
        <f t="shared" si="11"/>
        <v>100</v>
      </c>
    </row>
    <row r="80" spans="2:17" ht="24" x14ac:dyDescent="0.2">
      <c r="B80" s="72">
        <f t="shared" si="12"/>
        <v>72</v>
      </c>
      <c r="C80" s="4"/>
      <c r="D80" s="4"/>
      <c r="E80" s="4"/>
      <c r="F80" s="53"/>
      <c r="G80" s="4"/>
      <c r="H80" s="148" t="s">
        <v>641</v>
      </c>
      <c r="I80" s="149"/>
      <c r="J80" s="149"/>
      <c r="K80" s="195"/>
      <c r="L80" s="149">
        <v>2000</v>
      </c>
      <c r="M80" s="149"/>
      <c r="N80" s="198">
        <f t="shared" si="8"/>
        <v>0</v>
      </c>
      <c r="O80" s="149">
        <f t="shared" si="9"/>
        <v>2000</v>
      </c>
      <c r="P80" s="149">
        <f t="shared" si="10"/>
        <v>0</v>
      </c>
      <c r="Q80" s="203">
        <f t="shared" si="11"/>
        <v>0</v>
      </c>
    </row>
    <row r="81" spans="2:17" ht="24" x14ac:dyDescent="0.2">
      <c r="B81" s="72">
        <f t="shared" si="12"/>
        <v>73</v>
      </c>
      <c r="C81" s="4"/>
      <c r="D81" s="4"/>
      <c r="E81" s="4"/>
      <c r="F81" s="53"/>
      <c r="G81" s="4"/>
      <c r="H81" s="148" t="s">
        <v>667</v>
      </c>
      <c r="I81" s="149"/>
      <c r="J81" s="149"/>
      <c r="K81" s="195"/>
      <c r="L81" s="149">
        <v>1200</v>
      </c>
      <c r="M81" s="149"/>
      <c r="N81" s="198">
        <f t="shared" si="8"/>
        <v>0</v>
      </c>
      <c r="O81" s="149">
        <f t="shared" si="9"/>
        <v>1200</v>
      </c>
      <c r="P81" s="149">
        <f t="shared" si="10"/>
        <v>0</v>
      </c>
      <c r="Q81" s="203">
        <f t="shared" si="11"/>
        <v>0</v>
      </c>
    </row>
    <row r="82" spans="2:17" x14ac:dyDescent="0.2">
      <c r="B82" s="72">
        <f t="shared" si="12"/>
        <v>74</v>
      </c>
      <c r="C82" s="4"/>
      <c r="D82" s="4"/>
      <c r="E82" s="4"/>
      <c r="F82" s="53"/>
      <c r="G82" s="4"/>
      <c r="H82" s="148" t="s">
        <v>698</v>
      </c>
      <c r="I82" s="149"/>
      <c r="J82" s="149"/>
      <c r="K82" s="195"/>
      <c r="L82" s="149">
        <v>3000</v>
      </c>
      <c r="M82" s="149"/>
      <c r="N82" s="198">
        <f t="shared" si="8"/>
        <v>0</v>
      </c>
      <c r="O82" s="149">
        <f t="shared" si="9"/>
        <v>3000</v>
      </c>
      <c r="P82" s="149">
        <f t="shared" si="10"/>
        <v>0</v>
      </c>
      <c r="Q82" s="203">
        <f t="shared" si="11"/>
        <v>0</v>
      </c>
    </row>
    <row r="83" spans="2:17" x14ac:dyDescent="0.2">
      <c r="B83" s="72">
        <f t="shared" si="12"/>
        <v>75</v>
      </c>
      <c r="C83" s="4"/>
      <c r="D83" s="4"/>
      <c r="E83" s="4"/>
      <c r="F83" s="53"/>
      <c r="G83" s="4"/>
      <c r="H83" s="148" t="s">
        <v>728</v>
      </c>
      <c r="I83" s="149"/>
      <c r="J83" s="149"/>
      <c r="K83" s="195"/>
      <c r="L83" s="149">
        <v>850</v>
      </c>
      <c r="M83" s="149">
        <v>750</v>
      </c>
      <c r="N83" s="198">
        <f t="shared" si="8"/>
        <v>88.235294117647058</v>
      </c>
      <c r="O83" s="149">
        <f t="shared" ref="O83:O114" si="13">I83+L83</f>
        <v>850</v>
      </c>
      <c r="P83" s="149">
        <f t="shared" ref="P83:P114" si="14">J83+M83</f>
        <v>750</v>
      </c>
      <c r="Q83" s="203">
        <f t="shared" si="11"/>
        <v>88.235294117647058</v>
      </c>
    </row>
    <row r="84" spans="2:17" x14ac:dyDescent="0.2">
      <c r="B84" s="72">
        <f t="shared" si="12"/>
        <v>76</v>
      </c>
      <c r="C84" s="4"/>
      <c r="D84" s="4"/>
      <c r="E84" s="4"/>
      <c r="F84" s="53"/>
      <c r="G84" s="4"/>
      <c r="H84" s="148" t="s">
        <v>619</v>
      </c>
      <c r="I84" s="149"/>
      <c r="J84" s="149"/>
      <c r="K84" s="195"/>
      <c r="L84" s="149">
        <v>4500</v>
      </c>
      <c r="M84" s="149">
        <v>4400</v>
      </c>
      <c r="N84" s="198">
        <f t="shared" si="8"/>
        <v>97.777777777777771</v>
      </c>
      <c r="O84" s="149">
        <f t="shared" si="13"/>
        <v>4500</v>
      </c>
      <c r="P84" s="149">
        <f t="shared" si="14"/>
        <v>4400</v>
      </c>
      <c r="Q84" s="203">
        <f t="shared" si="11"/>
        <v>97.777777777777771</v>
      </c>
    </row>
    <row r="85" spans="2:17" x14ac:dyDescent="0.2">
      <c r="B85" s="72">
        <f t="shared" si="12"/>
        <v>77</v>
      </c>
      <c r="C85" s="4"/>
      <c r="D85" s="4"/>
      <c r="E85" s="4"/>
      <c r="F85" s="82" t="s">
        <v>5</v>
      </c>
      <c r="G85" s="83">
        <v>717</v>
      </c>
      <c r="H85" s="83" t="s">
        <v>193</v>
      </c>
      <c r="I85" s="84"/>
      <c r="J85" s="84"/>
      <c r="K85" s="195"/>
      <c r="L85" s="84">
        <f>SUM(L86:L145)</f>
        <v>2726163</v>
      </c>
      <c r="M85" s="84">
        <f>SUM(M86:M145)</f>
        <v>1565734</v>
      </c>
      <c r="N85" s="198">
        <f t="shared" si="8"/>
        <v>57.43361640518193</v>
      </c>
      <c r="O85" s="84">
        <f t="shared" si="13"/>
        <v>2726163</v>
      </c>
      <c r="P85" s="84">
        <f t="shared" si="14"/>
        <v>1565734</v>
      </c>
      <c r="Q85" s="203">
        <f t="shared" si="11"/>
        <v>57.43361640518193</v>
      </c>
    </row>
    <row r="86" spans="2:17" x14ac:dyDescent="0.2">
      <c r="B86" s="72">
        <f t="shared" si="12"/>
        <v>78</v>
      </c>
      <c r="C86" s="4"/>
      <c r="D86" s="4"/>
      <c r="E86" s="4"/>
      <c r="F86" s="53"/>
      <c r="G86" s="4"/>
      <c r="H86" s="4" t="s">
        <v>459</v>
      </c>
      <c r="I86" s="23"/>
      <c r="J86" s="23"/>
      <c r="K86" s="195"/>
      <c r="L86" s="23">
        <f>54988+35000-25000</f>
        <v>64988</v>
      </c>
      <c r="M86" s="23">
        <f>2883+59796</f>
        <v>62679</v>
      </c>
      <c r="N86" s="198">
        <f t="shared" si="8"/>
        <v>96.447036375946325</v>
      </c>
      <c r="O86" s="23">
        <f t="shared" si="13"/>
        <v>64988</v>
      </c>
      <c r="P86" s="23">
        <f t="shared" si="14"/>
        <v>62679</v>
      </c>
      <c r="Q86" s="203">
        <f t="shared" si="11"/>
        <v>96.447036375946325</v>
      </c>
    </row>
    <row r="87" spans="2:17" x14ac:dyDescent="0.2">
      <c r="B87" s="72">
        <f t="shared" si="12"/>
        <v>79</v>
      </c>
      <c r="C87" s="4"/>
      <c r="D87" s="4"/>
      <c r="E87" s="4"/>
      <c r="F87" s="53"/>
      <c r="G87" s="4"/>
      <c r="H87" s="4" t="s">
        <v>623</v>
      </c>
      <c r="I87" s="23"/>
      <c r="J87" s="23"/>
      <c r="K87" s="195"/>
      <c r="L87" s="23">
        <f>82549+750</f>
        <v>83299</v>
      </c>
      <c r="M87" s="23">
        <v>15696</v>
      </c>
      <c r="N87" s="198">
        <f t="shared" si="8"/>
        <v>18.842963300879962</v>
      </c>
      <c r="O87" s="23">
        <f t="shared" si="13"/>
        <v>83299</v>
      </c>
      <c r="P87" s="23">
        <f t="shared" si="14"/>
        <v>15696</v>
      </c>
      <c r="Q87" s="203">
        <f t="shared" si="11"/>
        <v>18.842963300879962</v>
      </c>
    </row>
    <row r="88" spans="2:17" x14ac:dyDescent="0.2">
      <c r="B88" s="72">
        <f t="shared" si="12"/>
        <v>80</v>
      </c>
      <c r="C88" s="4"/>
      <c r="D88" s="4"/>
      <c r="E88" s="4"/>
      <c r="F88" s="53"/>
      <c r="G88" s="4"/>
      <c r="H88" s="4" t="s">
        <v>494</v>
      </c>
      <c r="I88" s="23"/>
      <c r="J88" s="23"/>
      <c r="K88" s="195"/>
      <c r="L88" s="23">
        <f>200000-20000+100000+10000</f>
        <v>290000</v>
      </c>
      <c r="M88" s="23">
        <f>24+95503+22011</f>
        <v>117538</v>
      </c>
      <c r="N88" s="198">
        <f t="shared" si="8"/>
        <v>40.530344827586205</v>
      </c>
      <c r="O88" s="23">
        <f t="shared" si="13"/>
        <v>290000</v>
      </c>
      <c r="P88" s="23">
        <f t="shared" si="14"/>
        <v>117538</v>
      </c>
      <c r="Q88" s="203">
        <f t="shared" si="11"/>
        <v>40.530344827586205</v>
      </c>
    </row>
    <row r="89" spans="2:17" x14ac:dyDescent="0.2">
      <c r="B89" s="72">
        <f t="shared" si="12"/>
        <v>81</v>
      </c>
      <c r="C89" s="4"/>
      <c r="D89" s="4"/>
      <c r="E89" s="4"/>
      <c r="F89" s="53"/>
      <c r="G89" s="4"/>
      <c r="H89" s="4" t="s">
        <v>427</v>
      </c>
      <c r="I89" s="23"/>
      <c r="J89" s="23"/>
      <c r="K89" s="195"/>
      <c r="L89" s="23">
        <f>50000-25000-25000</f>
        <v>0</v>
      </c>
      <c r="M89" s="23"/>
      <c r="N89" s="198"/>
      <c r="O89" s="23">
        <f t="shared" si="13"/>
        <v>0</v>
      </c>
      <c r="P89" s="23">
        <f t="shared" si="14"/>
        <v>0</v>
      </c>
      <c r="Q89" s="203"/>
    </row>
    <row r="90" spans="2:17" x14ac:dyDescent="0.2">
      <c r="B90" s="72">
        <f t="shared" si="12"/>
        <v>82</v>
      </c>
      <c r="C90" s="4"/>
      <c r="D90" s="4"/>
      <c r="E90" s="4"/>
      <c r="F90" s="53"/>
      <c r="G90" s="4"/>
      <c r="H90" s="4" t="s">
        <v>429</v>
      </c>
      <c r="I90" s="23"/>
      <c r="J90" s="23"/>
      <c r="K90" s="195"/>
      <c r="L90" s="23">
        <f>170000-20000-53560</f>
        <v>96440</v>
      </c>
      <c r="M90" s="23">
        <v>96437</v>
      </c>
      <c r="N90" s="198">
        <f t="shared" ref="N90:N104" si="15">M90/L90*100</f>
        <v>99.996889257569478</v>
      </c>
      <c r="O90" s="23">
        <f t="shared" si="13"/>
        <v>96440</v>
      </c>
      <c r="P90" s="23">
        <f t="shared" si="14"/>
        <v>96437</v>
      </c>
      <c r="Q90" s="203">
        <f t="shared" ref="Q90:Q104" si="16">P90/O90*100</f>
        <v>99.996889257569478</v>
      </c>
    </row>
    <row r="91" spans="2:17" x14ac:dyDescent="0.2">
      <c r="B91" s="72">
        <f t="shared" si="12"/>
        <v>83</v>
      </c>
      <c r="C91" s="4"/>
      <c r="D91" s="4"/>
      <c r="E91" s="4"/>
      <c r="F91" s="53"/>
      <c r="G91" s="4"/>
      <c r="H91" s="4" t="s">
        <v>430</v>
      </c>
      <c r="I91" s="23"/>
      <c r="J91" s="23"/>
      <c r="K91" s="195"/>
      <c r="L91" s="23">
        <f>15000-7000+4000</f>
        <v>12000</v>
      </c>
      <c r="M91" s="23">
        <v>11825</v>
      </c>
      <c r="N91" s="198">
        <f t="shared" si="15"/>
        <v>98.541666666666671</v>
      </c>
      <c r="O91" s="23">
        <f t="shared" si="13"/>
        <v>12000</v>
      </c>
      <c r="P91" s="23">
        <f t="shared" si="14"/>
        <v>11825</v>
      </c>
      <c r="Q91" s="203">
        <f t="shared" si="16"/>
        <v>98.541666666666671</v>
      </c>
    </row>
    <row r="92" spans="2:17" x14ac:dyDescent="0.2">
      <c r="B92" s="72">
        <f t="shared" si="12"/>
        <v>84</v>
      </c>
      <c r="C92" s="4"/>
      <c r="D92" s="4"/>
      <c r="E92" s="4"/>
      <c r="F92" s="53"/>
      <c r="G92" s="4"/>
      <c r="H92" s="4" t="s">
        <v>438</v>
      </c>
      <c r="I92" s="23"/>
      <c r="J92" s="23"/>
      <c r="K92" s="195"/>
      <c r="L92" s="23">
        <f>86899+27000</f>
        <v>113899</v>
      </c>
      <c r="M92" s="23">
        <f>30+106353</f>
        <v>106383</v>
      </c>
      <c r="N92" s="198">
        <f t="shared" si="15"/>
        <v>93.401171213092312</v>
      </c>
      <c r="O92" s="23">
        <f t="shared" si="13"/>
        <v>113899</v>
      </c>
      <c r="P92" s="23">
        <f t="shared" si="14"/>
        <v>106383</v>
      </c>
      <c r="Q92" s="203">
        <f t="shared" si="16"/>
        <v>93.401171213092312</v>
      </c>
    </row>
    <row r="93" spans="2:17" x14ac:dyDescent="0.2">
      <c r="B93" s="72">
        <f t="shared" si="12"/>
        <v>85</v>
      </c>
      <c r="C93" s="4"/>
      <c r="D93" s="4"/>
      <c r="E93" s="4"/>
      <c r="F93" s="53"/>
      <c r="G93" s="4"/>
      <c r="H93" s="4" t="s">
        <v>422</v>
      </c>
      <c r="I93" s="23"/>
      <c r="J93" s="23"/>
      <c r="K93" s="195"/>
      <c r="L93" s="23">
        <f>50000+40000-250+42050</f>
        <v>131800</v>
      </c>
      <c r="M93" s="23">
        <f>477+130187</f>
        <v>130664</v>
      </c>
      <c r="N93" s="198">
        <f t="shared" si="15"/>
        <v>99.138088012139605</v>
      </c>
      <c r="O93" s="23">
        <f t="shared" si="13"/>
        <v>131800</v>
      </c>
      <c r="P93" s="23">
        <f t="shared" si="14"/>
        <v>130664</v>
      </c>
      <c r="Q93" s="203">
        <f t="shared" si="16"/>
        <v>99.138088012139605</v>
      </c>
    </row>
    <row r="94" spans="2:17" x14ac:dyDescent="0.2">
      <c r="B94" s="72">
        <f t="shared" si="12"/>
        <v>86</v>
      </c>
      <c r="C94" s="4"/>
      <c r="D94" s="4"/>
      <c r="E94" s="4"/>
      <c r="F94" s="53"/>
      <c r="G94" s="4"/>
      <c r="H94" s="4" t="s">
        <v>442</v>
      </c>
      <c r="I94" s="23"/>
      <c r="J94" s="23"/>
      <c r="K94" s="195"/>
      <c r="L94" s="23">
        <f>60000-1700+21700</f>
        <v>80000</v>
      </c>
      <c r="M94" s="23">
        <f>439+78759</f>
        <v>79198</v>
      </c>
      <c r="N94" s="198">
        <f t="shared" si="15"/>
        <v>98.997500000000002</v>
      </c>
      <c r="O94" s="23">
        <f t="shared" si="13"/>
        <v>80000</v>
      </c>
      <c r="P94" s="23">
        <f t="shared" si="14"/>
        <v>79198</v>
      </c>
      <c r="Q94" s="203">
        <f t="shared" si="16"/>
        <v>98.997500000000002</v>
      </c>
    </row>
    <row r="95" spans="2:17" x14ac:dyDescent="0.2">
      <c r="B95" s="72">
        <f t="shared" si="12"/>
        <v>87</v>
      </c>
      <c r="C95" s="4"/>
      <c r="D95" s="4"/>
      <c r="E95" s="4"/>
      <c r="F95" s="53"/>
      <c r="G95" s="4"/>
      <c r="H95" s="168" t="s">
        <v>699</v>
      </c>
      <c r="I95" s="124"/>
      <c r="J95" s="124"/>
      <c r="K95" s="195"/>
      <c r="L95" s="124">
        <f>12000-5000+5980</f>
        <v>12980</v>
      </c>
      <c r="M95" s="124">
        <v>12980</v>
      </c>
      <c r="N95" s="198">
        <f t="shared" si="15"/>
        <v>100</v>
      </c>
      <c r="O95" s="124">
        <f t="shared" si="13"/>
        <v>12980</v>
      </c>
      <c r="P95" s="124">
        <f t="shared" si="14"/>
        <v>12980</v>
      </c>
      <c r="Q95" s="203">
        <f t="shared" si="16"/>
        <v>100</v>
      </c>
    </row>
    <row r="96" spans="2:17" x14ac:dyDescent="0.2">
      <c r="B96" s="72">
        <f t="shared" si="12"/>
        <v>88</v>
      </c>
      <c r="C96" s="4"/>
      <c r="D96" s="4"/>
      <c r="E96" s="4"/>
      <c r="F96" s="53"/>
      <c r="G96" s="4"/>
      <c r="H96" s="4" t="s">
        <v>431</v>
      </c>
      <c r="I96" s="23"/>
      <c r="J96" s="23"/>
      <c r="K96" s="195"/>
      <c r="L96" s="23">
        <f>18000-5000-1100</f>
        <v>11900</v>
      </c>
      <c r="M96" s="23"/>
      <c r="N96" s="198">
        <f t="shared" si="15"/>
        <v>0</v>
      </c>
      <c r="O96" s="23">
        <f t="shared" si="13"/>
        <v>11900</v>
      </c>
      <c r="P96" s="23">
        <f t="shared" si="14"/>
        <v>0</v>
      </c>
      <c r="Q96" s="203">
        <f t="shared" si="16"/>
        <v>0</v>
      </c>
    </row>
    <row r="97" spans="2:17" x14ac:dyDescent="0.2">
      <c r="B97" s="72">
        <f t="shared" si="12"/>
        <v>89</v>
      </c>
      <c r="C97" s="4"/>
      <c r="D97" s="4"/>
      <c r="E97" s="4"/>
      <c r="F97" s="53"/>
      <c r="G97" s="4"/>
      <c r="H97" s="4" t="s">
        <v>474</v>
      </c>
      <c r="I97" s="23"/>
      <c r="J97" s="23"/>
      <c r="K97" s="195"/>
      <c r="L97" s="23">
        <f>4000+5300-750</f>
        <v>8550</v>
      </c>
      <c r="M97" s="23"/>
      <c r="N97" s="198">
        <f t="shared" si="15"/>
        <v>0</v>
      </c>
      <c r="O97" s="23">
        <f t="shared" si="13"/>
        <v>8550</v>
      </c>
      <c r="P97" s="23">
        <f t="shared" si="14"/>
        <v>0</v>
      </c>
      <c r="Q97" s="203">
        <f t="shared" si="16"/>
        <v>0</v>
      </c>
    </row>
    <row r="98" spans="2:17" x14ac:dyDescent="0.2">
      <c r="B98" s="72">
        <f t="shared" si="12"/>
        <v>90</v>
      </c>
      <c r="C98" s="4"/>
      <c r="D98" s="4"/>
      <c r="E98" s="4"/>
      <c r="F98" s="53"/>
      <c r="G98" s="4"/>
      <c r="H98" s="4" t="s">
        <v>439</v>
      </c>
      <c r="I98" s="23"/>
      <c r="J98" s="23"/>
      <c r="K98" s="195"/>
      <c r="L98" s="23">
        <f>17026+6000+6500</f>
        <v>29526</v>
      </c>
      <c r="M98" s="23">
        <v>29022</v>
      </c>
      <c r="N98" s="198">
        <f t="shared" si="15"/>
        <v>98.29302987197724</v>
      </c>
      <c r="O98" s="23">
        <f t="shared" si="13"/>
        <v>29526</v>
      </c>
      <c r="P98" s="23">
        <f t="shared" si="14"/>
        <v>29022</v>
      </c>
      <c r="Q98" s="203">
        <f t="shared" si="16"/>
        <v>98.29302987197724</v>
      </c>
    </row>
    <row r="99" spans="2:17" x14ac:dyDescent="0.2">
      <c r="B99" s="72">
        <f t="shared" si="12"/>
        <v>91</v>
      </c>
      <c r="C99" s="4"/>
      <c r="D99" s="4"/>
      <c r="E99" s="4"/>
      <c r="F99" s="53"/>
      <c r="G99" s="4"/>
      <c r="H99" s="61" t="s">
        <v>444</v>
      </c>
      <c r="I99" s="23"/>
      <c r="J99" s="23"/>
      <c r="K99" s="195"/>
      <c r="L99" s="23">
        <v>39414</v>
      </c>
      <c r="M99" s="23">
        <v>36</v>
      </c>
      <c r="N99" s="198">
        <f t="shared" si="15"/>
        <v>9.1338103212056626E-2</v>
      </c>
      <c r="O99" s="23">
        <f t="shared" si="13"/>
        <v>39414</v>
      </c>
      <c r="P99" s="23">
        <f t="shared" si="14"/>
        <v>36</v>
      </c>
      <c r="Q99" s="203">
        <f t="shared" si="16"/>
        <v>9.1338103212056626E-2</v>
      </c>
    </row>
    <row r="100" spans="2:17" ht="33.75" x14ac:dyDescent="0.2">
      <c r="B100" s="72">
        <f t="shared" si="12"/>
        <v>92</v>
      </c>
      <c r="C100" s="75"/>
      <c r="D100" s="75"/>
      <c r="E100" s="75"/>
      <c r="F100" s="76"/>
      <c r="G100" s="75"/>
      <c r="H100" s="63" t="s">
        <v>445</v>
      </c>
      <c r="I100" s="62"/>
      <c r="J100" s="62"/>
      <c r="K100" s="195"/>
      <c r="L100" s="62">
        <v>4000</v>
      </c>
      <c r="M100" s="62">
        <v>22</v>
      </c>
      <c r="N100" s="198">
        <f t="shared" si="15"/>
        <v>0.54999999999999993</v>
      </c>
      <c r="O100" s="62">
        <f t="shared" si="13"/>
        <v>4000</v>
      </c>
      <c r="P100" s="62">
        <f t="shared" si="14"/>
        <v>22</v>
      </c>
      <c r="Q100" s="203">
        <f t="shared" si="16"/>
        <v>0.54999999999999993</v>
      </c>
    </row>
    <row r="101" spans="2:17" x14ac:dyDescent="0.2">
      <c r="B101" s="72">
        <f t="shared" si="12"/>
        <v>93</v>
      </c>
      <c r="C101" s="4"/>
      <c r="D101" s="4"/>
      <c r="E101" s="4"/>
      <c r="F101" s="53"/>
      <c r="G101" s="4"/>
      <c r="H101" s="61" t="s">
        <v>440</v>
      </c>
      <c r="I101" s="23"/>
      <c r="J101" s="23"/>
      <c r="K101" s="195"/>
      <c r="L101" s="23">
        <f>132435+59600</f>
        <v>192035</v>
      </c>
      <c r="M101" s="23"/>
      <c r="N101" s="198">
        <f t="shared" si="15"/>
        <v>0</v>
      </c>
      <c r="O101" s="23">
        <f t="shared" si="13"/>
        <v>192035</v>
      </c>
      <c r="P101" s="23">
        <f t="shared" si="14"/>
        <v>0</v>
      </c>
      <c r="Q101" s="203">
        <f t="shared" si="16"/>
        <v>0</v>
      </c>
    </row>
    <row r="102" spans="2:17" x14ac:dyDescent="0.2">
      <c r="B102" s="72">
        <f t="shared" ref="B102:B135" si="17">B101+1</f>
        <v>94</v>
      </c>
      <c r="C102" s="4"/>
      <c r="D102" s="4"/>
      <c r="E102" s="4"/>
      <c r="F102" s="53"/>
      <c r="G102" s="4"/>
      <c r="H102" s="125" t="s">
        <v>543</v>
      </c>
      <c r="I102" s="124"/>
      <c r="J102" s="124"/>
      <c r="K102" s="195"/>
      <c r="L102" s="124">
        <f>47000-1160</f>
        <v>45840</v>
      </c>
      <c r="M102" s="124"/>
      <c r="N102" s="198">
        <f t="shared" si="15"/>
        <v>0</v>
      </c>
      <c r="O102" s="124">
        <f t="shared" si="13"/>
        <v>45840</v>
      </c>
      <c r="P102" s="124">
        <f t="shared" si="14"/>
        <v>0</v>
      </c>
      <c r="Q102" s="203">
        <f t="shared" si="16"/>
        <v>0</v>
      </c>
    </row>
    <row r="103" spans="2:17" x14ac:dyDescent="0.2">
      <c r="B103" s="72">
        <f t="shared" si="17"/>
        <v>95</v>
      </c>
      <c r="C103" s="4"/>
      <c r="D103" s="4"/>
      <c r="E103" s="4"/>
      <c r="F103" s="53"/>
      <c r="G103" s="4"/>
      <c r="H103" s="125" t="s">
        <v>545</v>
      </c>
      <c r="I103" s="124"/>
      <c r="J103" s="124"/>
      <c r="K103" s="195"/>
      <c r="L103" s="124">
        <v>12000</v>
      </c>
      <c r="M103" s="124">
        <v>9543</v>
      </c>
      <c r="N103" s="198">
        <f t="shared" si="15"/>
        <v>79.525000000000006</v>
      </c>
      <c r="O103" s="124">
        <f t="shared" si="13"/>
        <v>12000</v>
      </c>
      <c r="P103" s="124">
        <f t="shared" si="14"/>
        <v>9543</v>
      </c>
      <c r="Q103" s="203">
        <f t="shared" si="16"/>
        <v>79.525000000000006</v>
      </c>
    </row>
    <row r="104" spans="2:17" x14ac:dyDescent="0.2">
      <c r="B104" s="72">
        <f t="shared" si="17"/>
        <v>96</v>
      </c>
      <c r="C104" s="4"/>
      <c r="D104" s="4"/>
      <c r="E104" s="4"/>
      <c r="F104" s="53"/>
      <c r="G104" s="4"/>
      <c r="H104" s="125" t="s">
        <v>546</v>
      </c>
      <c r="I104" s="124"/>
      <c r="J104" s="124"/>
      <c r="K104" s="195"/>
      <c r="L104" s="124">
        <v>28600</v>
      </c>
      <c r="M104" s="124">
        <f>15053+13546</f>
        <v>28599</v>
      </c>
      <c r="N104" s="198">
        <f t="shared" si="15"/>
        <v>99.996503496503493</v>
      </c>
      <c r="O104" s="124">
        <f t="shared" si="13"/>
        <v>28600</v>
      </c>
      <c r="P104" s="124">
        <f t="shared" si="14"/>
        <v>28599</v>
      </c>
      <c r="Q104" s="203">
        <f t="shared" si="16"/>
        <v>99.996503496503493</v>
      </c>
    </row>
    <row r="105" spans="2:17" x14ac:dyDescent="0.2">
      <c r="B105" s="72">
        <f t="shared" si="17"/>
        <v>97</v>
      </c>
      <c r="C105" s="4"/>
      <c r="D105" s="4"/>
      <c r="E105" s="4"/>
      <c r="F105" s="53"/>
      <c r="G105" s="4"/>
      <c r="H105" s="125" t="s">
        <v>618</v>
      </c>
      <c r="I105" s="124"/>
      <c r="J105" s="124"/>
      <c r="K105" s="195"/>
      <c r="L105" s="124">
        <f>150000-134500-15500</f>
        <v>0</v>
      </c>
      <c r="M105" s="124"/>
      <c r="N105" s="198"/>
      <c r="O105" s="124">
        <f t="shared" si="13"/>
        <v>0</v>
      </c>
      <c r="P105" s="124">
        <f t="shared" si="14"/>
        <v>0</v>
      </c>
      <c r="Q105" s="203"/>
    </row>
    <row r="106" spans="2:17" x14ac:dyDescent="0.2">
      <c r="B106" s="72">
        <f t="shared" si="17"/>
        <v>98</v>
      </c>
      <c r="C106" s="4"/>
      <c r="D106" s="4"/>
      <c r="E106" s="4"/>
      <c r="F106" s="53"/>
      <c r="G106" s="4"/>
      <c r="H106" s="125" t="s">
        <v>677</v>
      </c>
      <c r="I106" s="124"/>
      <c r="J106" s="124"/>
      <c r="K106" s="195"/>
      <c r="L106" s="124">
        <f>26000+1160</f>
        <v>27160</v>
      </c>
      <c r="M106" s="124">
        <f>1158+26000</f>
        <v>27158</v>
      </c>
      <c r="N106" s="198">
        <f t="shared" ref="N106:N114" si="18">M106/L106*100</f>
        <v>99.992636229749635</v>
      </c>
      <c r="O106" s="124">
        <f t="shared" si="13"/>
        <v>27160</v>
      </c>
      <c r="P106" s="124">
        <f t="shared" si="14"/>
        <v>27158</v>
      </c>
      <c r="Q106" s="203">
        <f t="shared" ref="Q106:Q114" si="19">P106/O106*100</f>
        <v>99.992636229749635</v>
      </c>
    </row>
    <row r="107" spans="2:17" x14ac:dyDescent="0.2">
      <c r="B107" s="72">
        <f t="shared" si="17"/>
        <v>99</v>
      </c>
      <c r="C107" s="4"/>
      <c r="D107" s="4"/>
      <c r="E107" s="4"/>
      <c r="F107" s="53"/>
      <c r="G107" s="4"/>
      <c r="H107" s="61" t="s">
        <v>467</v>
      </c>
      <c r="I107" s="23"/>
      <c r="J107" s="23"/>
      <c r="K107" s="195"/>
      <c r="L107" s="23">
        <f>25000+50000</f>
        <v>75000</v>
      </c>
      <c r="M107" s="23">
        <v>73143</v>
      </c>
      <c r="N107" s="198">
        <f t="shared" si="18"/>
        <v>97.524000000000001</v>
      </c>
      <c r="O107" s="23">
        <f t="shared" si="13"/>
        <v>75000</v>
      </c>
      <c r="P107" s="23">
        <f t="shared" si="14"/>
        <v>73143</v>
      </c>
      <c r="Q107" s="203">
        <f t="shared" si="19"/>
        <v>97.524000000000001</v>
      </c>
    </row>
    <row r="108" spans="2:17" ht="24" x14ac:dyDescent="0.2">
      <c r="B108" s="72">
        <f t="shared" si="17"/>
        <v>100</v>
      </c>
      <c r="C108" s="75"/>
      <c r="D108" s="75"/>
      <c r="E108" s="75"/>
      <c r="F108" s="76"/>
      <c r="G108" s="75"/>
      <c r="H108" s="108" t="s">
        <v>468</v>
      </c>
      <c r="I108" s="62"/>
      <c r="J108" s="62"/>
      <c r="K108" s="195"/>
      <c r="L108" s="62">
        <v>60000</v>
      </c>
      <c r="M108" s="62">
        <f>216</f>
        <v>216</v>
      </c>
      <c r="N108" s="198">
        <f t="shared" si="18"/>
        <v>0.36</v>
      </c>
      <c r="O108" s="62">
        <f t="shared" si="13"/>
        <v>60000</v>
      </c>
      <c r="P108" s="62">
        <f t="shared" si="14"/>
        <v>216</v>
      </c>
      <c r="Q108" s="203">
        <f t="shared" si="19"/>
        <v>0.36</v>
      </c>
    </row>
    <row r="109" spans="2:17" x14ac:dyDescent="0.2">
      <c r="B109" s="72">
        <f t="shared" si="17"/>
        <v>101</v>
      </c>
      <c r="C109" s="75"/>
      <c r="D109" s="75"/>
      <c r="E109" s="75"/>
      <c r="F109" s="76"/>
      <c r="G109" s="75"/>
      <c r="H109" s="108" t="s">
        <v>469</v>
      </c>
      <c r="I109" s="62"/>
      <c r="J109" s="62"/>
      <c r="K109" s="195"/>
      <c r="L109" s="62">
        <v>50000</v>
      </c>
      <c r="M109" s="62">
        <f>898</f>
        <v>898</v>
      </c>
      <c r="N109" s="198">
        <f t="shared" si="18"/>
        <v>1.796</v>
      </c>
      <c r="O109" s="62">
        <f t="shared" si="13"/>
        <v>50000</v>
      </c>
      <c r="P109" s="62">
        <f t="shared" si="14"/>
        <v>898</v>
      </c>
      <c r="Q109" s="203">
        <f t="shared" si="19"/>
        <v>1.796</v>
      </c>
    </row>
    <row r="110" spans="2:17" ht="24" x14ac:dyDescent="0.2">
      <c r="B110" s="72">
        <f t="shared" si="17"/>
        <v>102</v>
      </c>
      <c r="C110" s="75"/>
      <c r="D110" s="75"/>
      <c r="E110" s="75"/>
      <c r="F110" s="76"/>
      <c r="G110" s="75"/>
      <c r="H110" s="108" t="s">
        <v>501</v>
      </c>
      <c r="I110" s="62"/>
      <c r="J110" s="62"/>
      <c r="K110" s="195"/>
      <c r="L110" s="62">
        <v>300</v>
      </c>
      <c r="M110" s="62">
        <v>300</v>
      </c>
      <c r="N110" s="198">
        <f t="shared" si="18"/>
        <v>100</v>
      </c>
      <c r="O110" s="62">
        <f t="shared" si="13"/>
        <v>300</v>
      </c>
      <c r="P110" s="62">
        <f t="shared" si="14"/>
        <v>300</v>
      </c>
      <c r="Q110" s="203">
        <f t="shared" si="19"/>
        <v>100</v>
      </c>
    </row>
    <row r="111" spans="2:17" x14ac:dyDescent="0.2">
      <c r="B111" s="72">
        <f t="shared" si="17"/>
        <v>103</v>
      </c>
      <c r="C111" s="75"/>
      <c r="D111" s="75"/>
      <c r="E111" s="75"/>
      <c r="F111" s="76"/>
      <c r="G111" s="75"/>
      <c r="H111" s="108" t="s">
        <v>511</v>
      </c>
      <c r="I111" s="62"/>
      <c r="J111" s="62"/>
      <c r="K111" s="195"/>
      <c r="L111" s="62">
        <v>130</v>
      </c>
      <c r="M111" s="62"/>
      <c r="N111" s="198">
        <f t="shared" si="18"/>
        <v>0</v>
      </c>
      <c r="O111" s="62">
        <f t="shared" si="13"/>
        <v>130</v>
      </c>
      <c r="P111" s="62">
        <f t="shared" si="14"/>
        <v>0</v>
      </c>
      <c r="Q111" s="203">
        <f t="shared" si="19"/>
        <v>0</v>
      </c>
    </row>
    <row r="112" spans="2:17" x14ac:dyDescent="0.2">
      <c r="B112" s="72">
        <f t="shared" si="17"/>
        <v>104</v>
      </c>
      <c r="C112" s="75"/>
      <c r="D112" s="75"/>
      <c r="E112" s="75"/>
      <c r="F112" s="76"/>
      <c r="G112" s="75"/>
      <c r="H112" s="108" t="s">
        <v>498</v>
      </c>
      <c r="I112" s="62"/>
      <c r="J112" s="62"/>
      <c r="K112" s="195"/>
      <c r="L112" s="62">
        <f>200+94</f>
        <v>294</v>
      </c>
      <c r="M112" s="62">
        <v>294</v>
      </c>
      <c r="N112" s="198">
        <f t="shared" si="18"/>
        <v>100</v>
      </c>
      <c r="O112" s="62">
        <f t="shared" si="13"/>
        <v>294</v>
      </c>
      <c r="P112" s="62">
        <f t="shared" si="14"/>
        <v>294</v>
      </c>
      <c r="Q112" s="203">
        <f t="shared" si="19"/>
        <v>100</v>
      </c>
    </row>
    <row r="113" spans="2:17" x14ac:dyDescent="0.2">
      <c r="B113" s="72">
        <f t="shared" si="17"/>
        <v>105</v>
      </c>
      <c r="C113" s="75"/>
      <c r="D113" s="75"/>
      <c r="E113" s="75"/>
      <c r="F113" s="76"/>
      <c r="G113" s="75"/>
      <c r="H113" s="133" t="s">
        <v>555</v>
      </c>
      <c r="I113" s="134"/>
      <c r="J113" s="134"/>
      <c r="K113" s="195"/>
      <c r="L113" s="134">
        <f>25000-200</f>
        <v>24800</v>
      </c>
      <c r="M113" s="134">
        <f>25000-200</f>
        <v>24800</v>
      </c>
      <c r="N113" s="198">
        <f t="shared" si="18"/>
        <v>100</v>
      </c>
      <c r="O113" s="134">
        <f t="shared" si="13"/>
        <v>24800</v>
      </c>
      <c r="P113" s="134">
        <f t="shared" si="14"/>
        <v>24800</v>
      </c>
      <c r="Q113" s="203">
        <f t="shared" si="19"/>
        <v>100</v>
      </c>
    </row>
    <row r="114" spans="2:17" ht="24" x14ac:dyDescent="0.2">
      <c r="B114" s="72">
        <f t="shared" si="17"/>
        <v>106</v>
      </c>
      <c r="C114" s="75"/>
      <c r="D114" s="75"/>
      <c r="E114" s="75"/>
      <c r="F114" s="76"/>
      <c r="G114" s="75"/>
      <c r="H114" s="133" t="s">
        <v>556</v>
      </c>
      <c r="I114" s="134"/>
      <c r="J114" s="134"/>
      <c r="K114" s="195"/>
      <c r="L114" s="134">
        <v>2400</v>
      </c>
      <c r="M114" s="134">
        <v>2398</v>
      </c>
      <c r="N114" s="198">
        <f t="shared" si="18"/>
        <v>99.916666666666671</v>
      </c>
      <c r="O114" s="134">
        <f t="shared" si="13"/>
        <v>2400</v>
      </c>
      <c r="P114" s="134">
        <f t="shared" si="14"/>
        <v>2398</v>
      </c>
      <c r="Q114" s="203">
        <f t="shared" si="19"/>
        <v>99.916666666666671</v>
      </c>
    </row>
    <row r="115" spans="2:17" x14ac:dyDescent="0.2">
      <c r="B115" s="72">
        <f t="shared" si="17"/>
        <v>107</v>
      </c>
      <c r="C115" s="75"/>
      <c r="D115" s="75"/>
      <c r="E115" s="75"/>
      <c r="F115" s="76"/>
      <c r="G115" s="75"/>
      <c r="H115" s="133" t="s">
        <v>620</v>
      </c>
      <c r="I115" s="134"/>
      <c r="J115" s="134"/>
      <c r="K115" s="195"/>
      <c r="L115" s="134">
        <f>65000-6500-30000-28500</f>
        <v>0</v>
      </c>
      <c r="M115" s="134"/>
      <c r="N115" s="198"/>
      <c r="O115" s="134">
        <f t="shared" ref="O115:O148" si="20">I115+L115</f>
        <v>0</v>
      </c>
      <c r="P115" s="134">
        <f t="shared" ref="P115:P148" si="21">J115+M115</f>
        <v>0</v>
      </c>
      <c r="Q115" s="203"/>
    </row>
    <row r="116" spans="2:17" ht="24" x14ac:dyDescent="0.2">
      <c r="B116" s="72">
        <f t="shared" si="17"/>
        <v>108</v>
      </c>
      <c r="C116" s="75"/>
      <c r="D116" s="75"/>
      <c r="E116" s="75"/>
      <c r="F116" s="76"/>
      <c r="G116" s="75"/>
      <c r="H116" s="133" t="s">
        <v>732</v>
      </c>
      <c r="I116" s="134"/>
      <c r="J116" s="134"/>
      <c r="K116" s="195"/>
      <c r="L116" s="134">
        <f>30000+4000</f>
        <v>34000</v>
      </c>
      <c r="M116" s="134">
        <f>396+9010+24594</f>
        <v>34000</v>
      </c>
      <c r="N116" s="198">
        <f t="shared" ref="N116:N133" si="22">M116/L116*100</f>
        <v>100</v>
      </c>
      <c r="O116" s="134">
        <f t="shared" si="20"/>
        <v>34000</v>
      </c>
      <c r="P116" s="134">
        <f t="shared" si="21"/>
        <v>34000</v>
      </c>
      <c r="Q116" s="203">
        <f t="shared" ref="Q116:Q133" si="23">P116/O116*100</f>
        <v>100</v>
      </c>
    </row>
    <row r="117" spans="2:17" x14ac:dyDescent="0.2">
      <c r="B117" s="72">
        <f t="shared" si="17"/>
        <v>109</v>
      </c>
      <c r="C117" s="75"/>
      <c r="D117" s="75"/>
      <c r="E117" s="75"/>
      <c r="F117" s="76"/>
      <c r="G117" s="75"/>
      <c r="H117" s="133" t="s">
        <v>734</v>
      </c>
      <c r="I117" s="134"/>
      <c r="J117" s="134"/>
      <c r="K117" s="195"/>
      <c r="L117" s="134">
        <v>27700</v>
      </c>
      <c r="M117" s="134"/>
      <c r="N117" s="198">
        <f t="shared" si="22"/>
        <v>0</v>
      </c>
      <c r="O117" s="134">
        <f t="shared" si="20"/>
        <v>27700</v>
      </c>
      <c r="P117" s="134">
        <f t="shared" si="21"/>
        <v>0</v>
      </c>
      <c r="Q117" s="203">
        <f t="shared" si="23"/>
        <v>0</v>
      </c>
    </row>
    <row r="118" spans="2:17" x14ac:dyDescent="0.2">
      <c r="B118" s="72">
        <f t="shared" si="17"/>
        <v>110</v>
      </c>
      <c r="C118" s="75"/>
      <c r="D118" s="75"/>
      <c r="E118" s="75"/>
      <c r="F118" s="76"/>
      <c r="G118" s="75"/>
      <c r="H118" s="108" t="s">
        <v>512</v>
      </c>
      <c r="I118" s="62"/>
      <c r="J118" s="62"/>
      <c r="K118" s="195"/>
      <c r="L118" s="62">
        <v>180</v>
      </c>
      <c r="M118" s="62"/>
      <c r="N118" s="198">
        <f t="shared" si="22"/>
        <v>0</v>
      </c>
      <c r="O118" s="62">
        <f t="shared" si="20"/>
        <v>180</v>
      </c>
      <c r="P118" s="62">
        <f t="shared" si="21"/>
        <v>0</v>
      </c>
      <c r="Q118" s="203">
        <f t="shared" si="23"/>
        <v>0</v>
      </c>
    </row>
    <row r="119" spans="2:17" x14ac:dyDescent="0.2">
      <c r="B119" s="72">
        <f t="shared" si="17"/>
        <v>111</v>
      </c>
      <c r="C119" s="75"/>
      <c r="D119" s="75"/>
      <c r="E119" s="75"/>
      <c r="F119" s="76"/>
      <c r="G119" s="75"/>
      <c r="H119" s="108" t="s">
        <v>513</v>
      </c>
      <c r="I119" s="62"/>
      <c r="J119" s="62"/>
      <c r="K119" s="195"/>
      <c r="L119" s="62">
        <v>79300</v>
      </c>
      <c r="M119" s="62">
        <v>79188</v>
      </c>
      <c r="N119" s="198">
        <f t="shared" si="22"/>
        <v>99.858764186633039</v>
      </c>
      <c r="O119" s="62">
        <f t="shared" si="20"/>
        <v>79300</v>
      </c>
      <c r="P119" s="62">
        <f t="shared" si="21"/>
        <v>79188</v>
      </c>
      <c r="Q119" s="203">
        <f t="shared" si="23"/>
        <v>99.858764186633039</v>
      </c>
    </row>
    <row r="120" spans="2:17" x14ac:dyDescent="0.2">
      <c r="B120" s="72">
        <f t="shared" si="17"/>
        <v>112</v>
      </c>
      <c r="C120" s="75"/>
      <c r="D120" s="75"/>
      <c r="E120" s="75"/>
      <c r="F120" s="76"/>
      <c r="G120" s="75"/>
      <c r="H120" s="108" t="s">
        <v>514</v>
      </c>
      <c r="I120" s="62"/>
      <c r="J120" s="62"/>
      <c r="K120" s="195"/>
      <c r="L120" s="62">
        <v>9500</v>
      </c>
      <c r="M120" s="62">
        <v>9493</v>
      </c>
      <c r="N120" s="198">
        <f t="shared" si="22"/>
        <v>99.926315789473691</v>
      </c>
      <c r="O120" s="62">
        <f t="shared" si="20"/>
        <v>9500</v>
      </c>
      <c r="P120" s="62">
        <f t="shared" si="21"/>
        <v>9493</v>
      </c>
      <c r="Q120" s="203">
        <f t="shared" si="23"/>
        <v>99.926315789473691</v>
      </c>
    </row>
    <row r="121" spans="2:17" x14ac:dyDescent="0.2">
      <c r="B121" s="72">
        <f t="shared" si="17"/>
        <v>113</v>
      </c>
      <c r="C121" s="75"/>
      <c r="D121" s="75"/>
      <c r="E121" s="75"/>
      <c r="F121" s="76"/>
      <c r="G121" s="75"/>
      <c r="H121" s="135" t="s">
        <v>566</v>
      </c>
      <c r="I121" s="136"/>
      <c r="J121" s="136"/>
      <c r="K121" s="195"/>
      <c r="L121" s="136">
        <f>42000+1570</f>
        <v>43570</v>
      </c>
      <c r="M121" s="136">
        <v>43567</v>
      </c>
      <c r="N121" s="198">
        <f t="shared" si="22"/>
        <v>99.993114528345188</v>
      </c>
      <c r="O121" s="136">
        <f t="shared" si="20"/>
        <v>43570</v>
      </c>
      <c r="P121" s="136">
        <f t="shared" si="21"/>
        <v>43567</v>
      </c>
      <c r="Q121" s="203">
        <f t="shared" si="23"/>
        <v>99.993114528345188</v>
      </c>
    </row>
    <row r="122" spans="2:17" ht="24" x14ac:dyDescent="0.2">
      <c r="B122" s="72">
        <f t="shared" si="17"/>
        <v>114</v>
      </c>
      <c r="C122" s="75"/>
      <c r="D122" s="75"/>
      <c r="E122" s="75"/>
      <c r="F122" s="76"/>
      <c r="G122" s="75"/>
      <c r="H122" s="135" t="s">
        <v>567</v>
      </c>
      <c r="I122" s="136"/>
      <c r="J122" s="136"/>
      <c r="K122" s="195"/>
      <c r="L122" s="136">
        <v>7500</v>
      </c>
      <c r="M122" s="136">
        <v>5834</v>
      </c>
      <c r="N122" s="198">
        <f t="shared" si="22"/>
        <v>77.786666666666676</v>
      </c>
      <c r="O122" s="136">
        <f t="shared" si="20"/>
        <v>7500</v>
      </c>
      <c r="P122" s="136">
        <f t="shared" si="21"/>
        <v>5834</v>
      </c>
      <c r="Q122" s="203">
        <f t="shared" si="23"/>
        <v>77.786666666666676</v>
      </c>
    </row>
    <row r="123" spans="2:17" ht="24" x14ac:dyDescent="0.2">
      <c r="B123" s="72">
        <f t="shared" si="17"/>
        <v>115</v>
      </c>
      <c r="C123" s="75"/>
      <c r="D123" s="75"/>
      <c r="E123" s="75"/>
      <c r="F123" s="76"/>
      <c r="G123" s="75"/>
      <c r="H123" s="135" t="s">
        <v>568</v>
      </c>
      <c r="I123" s="136"/>
      <c r="J123" s="136"/>
      <c r="K123" s="195"/>
      <c r="L123" s="136">
        <v>5500</v>
      </c>
      <c r="M123" s="136">
        <v>5075</v>
      </c>
      <c r="N123" s="198">
        <f t="shared" si="22"/>
        <v>92.272727272727266</v>
      </c>
      <c r="O123" s="136">
        <f t="shared" si="20"/>
        <v>5500</v>
      </c>
      <c r="P123" s="136">
        <f t="shared" si="21"/>
        <v>5075</v>
      </c>
      <c r="Q123" s="203">
        <f t="shared" si="23"/>
        <v>92.272727272727266</v>
      </c>
    </row>
    <row r="124" spans="2:17" ht="36" x14ac:dyDescent="0.2">
      <c r="B124" s="72">
        <f t="shared" si="17"/>
        <v>116</v>
      </c>
      <c r="C124" s="75"/>
      <c r="D124" s="75"/>
      <c r="E124" s="75"/>
      <c r="F124" s="76"/>
      <c r="G124" s="75"/>
      <c r="H124" s="135" t="s">
        <v>570</v>
      </c>
      <c r="I124" s="136"/>
      <c r="J124" s="136"/>
      <c r="K124" s="195"/>
      <c r="L124" s="136">
        <v>13000</v>
      </c>
      <c r="M124" s="136"/>
      <c r="N124" s="198">
        <f t="shared" si="22"/>
        <v>0</v>
      </c>
      <c r="O124" s="136">
        <f t="shared" si="20"/>
        <v>13000</v>
      </c>
      <c r="P124" s="136">
        <f t="shared" si="21"/>
        <v>0</v>
      </c>
      <c r="Q124" s="203">
        <f t="shared" si="23"/>
        <v>0</v>
      </c>
    </row>
    <row r="125" spans="2:17" x14ac:dyDescent="0.2">
      <c r="B125" s="72">
        <f t="shared" si="17"/>
        <v>117</v>
      </c>
      <c r="C125" s="75"/>
      <c r="D125" s="75"/>
      <c r="E125" s="75"/>
      <c r="F125" s="76"/>
      <c r="G125" s="75"/>
      <c r="H125" s="116" t="s">
        <v>521</v>
      </c>
      <c r="I125" s="117"/>
      <c r="J125" s="117"/>
      <c r="K125" s="195"/>
      <c r="L125" s="117">
        <f>19000-2350+40000</f>
        <v>56650</v>
      </c>
      <c r="M125" s="117">
        <f>1567+35875+17467</f>
        <v>54909</v>
      </c>
      <c r="N125" s="198">
        <f t="shared" si="22"/>
        <v>96.926743159752874</v>
      </c>
      <c r="O125" s="117">
        <f t="shared" si="20"/>
        <v>56650</v>
      </c>
      <c r="P125" s="117">
        <f t="shared" si="21"/>
        <v>54909</v>
      </c>
      <c r="Q125" s="203">
        <f t="shared" si="23"/>
        <v>96.926743159752874</v>
      </c>
    </row>
    <row r="126" spans="2:17" x14ac:dyDescent="0.2">
      <c r="B126" s="72">
        <f t="shared" si="17"/>
        <v>118</v>
      </c>
      <c r="C126" s="75"/>
      <c r="D126" s="75"/>
      <c r="E126" s="75"/>
      <c r="F126" s="76"/>
      <c r="G126" s="75"/>
      <c r="H126" s="116" t="s">
        <v>522</v>
      </c>
      <c r="I126" s="117"/>
      <c r="J126" s="117"/>
      <c r="K126" s="195"/>
      <c r="L126" s="117">
        <f>15000+2000-582</f>
        <v>16418</v>
      </c>
      <c r="M126" s="117">
        <f>194+14440</f>
        <v>14634</v>
      </c>
      <c r="N126" s="198">
        <f t="shared" si="22"/>
        <v>89.133877451577533</v>
      </c>
      <c r="O126" s="117">
        <f t="shared" si="20"/>
        <v>16418</v>
      </c>
      <c r="P126" s="117">
        <f t="shared" si="21"/>
        <v>14634</v>
      </c>
      <c r="Q126" s="203">
        <f t="shared" si="23"/>
        <v>89.133877451577533</v>
      </c>
    </row>
    <row r="127" spans="2:17" x14ac:dyDescent="0.2">
      <c r="B127" s="72">
        <f t="shared" si="17"/>
        <v>119</v>
      </c>
      <c r="C127" s="75"/>
      <c r="D127" s="75"/>
      <c r="E127" s="75"/>
      <c r="F127" s="76"/>
      <c r="G127" s="75"/>
      <c r="H127" s="116" t="s">
        <v>523</v>
      </c>
      <c r="I127" s="117"/>
      <c r="J127" s="117"/>
      <c r="K127" s="195"/>
      <c r="L127" s="117">
        <v>10000</v>
      </c>
      <c r="M127" s="117">
        <v>9936</v>
      </c>
      <c r="N127" s="198">
        <f t="shared" si="22"/>
        <v>99.36</v>
      </c>
      <c r="O127" s="117">
        <f t="shared" si="20"/>
        <v>10000</v>
      </c>
      <c r="P127" s="117">
        <f t="shared" si="21"/>
        <v>9936</v>
      </c>
      <c r="Q127" s="203">
        <f t="shared" si="23"/>
        <v>99.36</v>
      </c>
    </row>
    <row r="128" spans="2:17" ht="24" x14ac:dyDescent="0.2">
      <c r="B128" s="72">
        <f t="shared" si="17"/>
        <v>120</v>
      </c>
      <c r="C128" s="75"/>
      <c r="D128" s="75"/>
      <c r="E128" s="75"/>
      <c r="F128" s="76"/>
      <c r="G128" s="75"/>
      <c r="H128" s="116" t="s">
        <v>524</v>
      </c>
      <c r="I128" s="117"/>
      <c r="J128" s="117"/>
      <c r="K128" s="195"/>
      <c r="L128" s="117">
        <f>8500+2800</f>
        <v>11300</v>
      </c>
      <c r="M128" s="117">
        <v>10887</v>
      </c>
      <c r="N128" s="198">
        <f t="shared" si="22"/>
        <v>96.345132743362825</v>
      </c>
      <c r="O128" s="117">
        <f t="shared" si="20"/>
        <v>11300</v>
      </c>
      <c r="P128" s="117">
        <f t="shared" si="21"/>
        <v>10887</v>
      </c>
      <c r="Q128" s="203">
        <f t="shared" si="23"/>
        <v>96.345132743362825</v>
      </c>
    </row>
    <row r="129" spans="2:17" x14ac:dyDescent="0.2">
      <c r="B129" s="72">
        <f t="shared" si="17"/>
        <v>121</v>
      </c>
      <c r="C129" s="75"/>
      <c r="D129" s="75"/>
      <c r="E129" s="75"/>
      <c r="F129" s="76"/>
      <c r="G129" s="75"/>
      <c r="H129" s="116" t="s">
        <v>525</v>
      </c>
      <c r="I129" s="117"/>
      <c r="J129" s="117"/>
      <c r="K129" s="195"/>
      <c r="L129" s="117">
        <v>3000</v>
      </c>
      <c r="M129" s="117">
        <v>2960</v>
      </c>
      <c r="N129" s="198">
        <f t="shared" si="22"/>
        <v>98.666666666666671</v>
      </c>
      <c r="O129" s="117">
        <f t="shared" si="20"/>
        <v>3000</v>
      </c>
      <c r="P129" s="117">
        <f t="shared" si="21"/>
        <v>2960</v>
      </c>
      <c r="Q129" s="203">
        <f t="shared" si="23"/>
        <v>98.666666666666671</v>
      </c>
    </row>
    <row r="130" spans="2:17" x14ac:dyDescent="0.2">
      <c r="B130" s="72">
        <f t="shared" si="17"/>
        <v>122</v>
      </c>
      <c r="C130" s="75"/>
      <c r="D130" s="75"/>
      <c r="E130" s="75"/>
      <c r="F130" s="76"/>
      <c r="G130" s="75"/>
      <c r="H130" s="116" t="s">
        <v>526</v>
      </c>
      <c r="I130" s="117"/>
      <c r="J130" s="117"/>
      <c r="K130" s="195"/>
      <c r="L130" s="117">
        <f>10000+14200</f>
        <v>24200</v>
      </c>
      <c r="M130" s="117">
        <f>94+24100</f>
        <v>24194</v>
      </c>
      <c r="N130" s="198">
        <f t="shared" si="22"/>
        <v>99.975206611570243</v>
      </c>
      <c r="O130" s="117">
        <f t="shared" si="20"/>
        <v>24200</v>
      </c>
      <c r="P130" s="117">
        <f t="shared" si="21"/>
        <v>24194</v>
      </c>
      <c r="Q130" s="203">
        <f t="shared" si="23"/>
        <v>99.975206611570243</v>
      </c>
    </row>
    <row r="131" spans="2:17" x14ac:dyDescent="0.2">
      <c r="B131" s="72">
        <f t="shared" si="17"/>
        <v>123</v>
      </c>
      <c r="C131" s="75"/>
      <c r="D131" s="75"/>
      <c r="E131" s="75"/>
      <c r="F131" s="76"/>
      <c r="G131" s="75"/>
      <c r="H131" s="116" t="s">
        <v>654</v>
      </c>
      <c r="I131" s="117"/>
      <c r="J131" s="117"/>
      <c r="K131" s="195"/>
      <c r="L131" s="117">
        <v>3500</v>
      </c>
      <c r="M131" s="117">
        <v>3499</v>
      </c>
      <c r="N131" s="198">
        <f t="shared" si="22"/>
        <v>99.971428571428561</v>
      </c>
      <c r="O131" s="117">
        <f t="shared" si="20"/>
        <v>3500</v>
      </c>
      <c r="P131" s="117">
        <f t="shared" si="21"/>
        <v>3499</v>
      </c>
      <c r="Q131" s="203">
        <f t="shared" si="23"/>
        <v>99.971428571428561</v>
      </c>
    </row>
    <row r="132" spans="2:17" ht="24" x14ac:dyDescent="0.2">
      <c r="B132" s="72">
        <f t="shared" si="17"/>
        <v>124</v>
      </c>
      <c r="C132" s="75"/>
      <c r="D132" s="75"/>
      <c r="E132" s="75"/>
      <c r="F132" s="76"/>
      <c r="G132" s="75"/>
      <c r="H132" s="116" t="s">
        <v>655</v>
      </c>
      <c r="I132" s="117"/>
      <c r="J132" s="117"/>
      <c r="K132" s="195"/>
      <c r="L132" s="117">
        <f>4000+12000</f>
        <v>16000</v>
      </c>
      <c r="M132" s="117">
        <v>15350</v>
      </c>
      <c r="N132" s="198">
        <f t="shared" si="22"/>
        <v>95.9375</v>
      </c>
      <c r="O132" s="117">
        <f t="shared" si="20"/>
        <v>16000</v>
      </c>
      <c r="P132" s="117">
        <f t="shared" si="21"/>
        <v>15350</v>
      </c>
      <c r="Q132" s="203">
        <f t="shared" si="23"/>
        <v>95.9375</v>
      </c>
    </row>
    <row r="133" spans="2:17" x14ac:dyDescent="0.2">
      <c r="B133" s="72">
        <f t="shared" si="17"/>
        <v>125</v>
      </c>
      <c r="C133" s="75"/>
      <c r="D133" s="75"/>
      <c r="E133" s="75"/>
      <c r="F133" s="76"/>
      <c r="G133" s="75"/>
      <c r="H133" s="148" t="s">
        <v>589</v>
      </c>
      <c r="I133" s="149"/>
      <c r="J133" s="149"/>
      <c r="K133" s="195"/>
      <c r="L133" s="149">
        <f>150000-6000+50000+46000</f>
        <v>240000</v>
      </c>
      <c r="M133" s="149">
        <f>897+129774+107790</f>
        <v>238461</v>
      </c>
      <c r="N133" s="198">
        <f t="shared" si="22"/>
        <v>99.358750000000001</v>
      </c>
      <c r="O133" s="149">
        <f t="shared" si="20"/>
        <v>240000</v>
      </c>
      <c r="P133" s="149">
        <f t="shared" si="21"/>
        <v>238461</v>
      </c>
      <c r="Q133" s="203">
        <f t="shared" si="23"/>
        <v>99.358750000000001</v>
      </c>
    </row>
    <row r="134" spans="2:17" x14ac:dyDescent="0.2">
      <c r="B134" s="72">
        <f t="shared" si="17"/>
        <v>126</v>
      </c>
      <c r="C134" s="75"/>
      <c r="D134" s="75"/>
      <c r="E134" s="75"/>
      <c r="F134" s="76"/>
      <c r="G134" s="75"/>
      <c r="H134" s="148" t="s">
        <v>590</v>
      </c>
      <c r="I134" s="149"/>
      <c r="J134" s="149"/>
      <c r="K134" s="195"/>
      <c r="L134" s="149">
        <f>280000-280000</f>
        <v>0</v>
      </c>
      <c r="M134" s="149"/>
      <c r="N134" s="198"/>
      <c r="O134" s="149">
        <f t="shared" si="20"/>
        <v>0</v>
      </c>
      <c r="P134" s="149">
        <f t="shared" si="21"/>
        <v>0</v>
      </c>
      <c r="Q134" s="203"/>
    </row>
    <row r="135" spans="2:17" x14ac:dyDescent="0.2">
      <c r="B135" s="72">
        <f t="shared" si="17"/>
        <v>127</v>
      </c>
      <c r="C135" s="75"/>
      <c r="D135" s="75"/>
      <c r="E135" s="75"/>
      <c r="F135" s="76"/>
      <c r="G135" s="75"/>
      <c r="H135" s="148" t="s">
        <v>591</v>
      </c>
      <c r="I135" s="149"/>
      <c r="J135" s="149"/>
      <c r="K135" s="195"/>
      <c r="L135" s="149">
        <f>35000-35000</f>
        <v>0</v>
      </c>
      <c r="M135" s="149"/>
      <c r="N135" s="198"/>
      <c r="O135" s="149">
        <f t="shared" si="20"/>
        <v>0</v>
      </c>
      <c r="P135" s="149">
        <f t="shared" si="21"/>
        <v>0</v>
      </c>
      <c r="Q135" s="203"/>
    </row>
    <row r="136" spans="2:17" x14ac:dyDescent="0.2">
      <c r="B136" s="72">
        <f t="shared" ref="B136:B148" si="24">B135+1</f>
        <v>128</v>
      </c>
      <c r="C136" s="75"/>
      <c r="D136" s="75"/>
      <c r="E136" s="75"/>
      <c r="F136" s="76"/>
      <c r="G136" s="75"/>
      <c r="H136" s="148" t="s">
        <v>592</v>
      </c>
      <c r="I136" s="149"/>
      <c r="J136" s="149"/>
      <c r="K136" s="195"/>
      <c r="L136" s="149">
        <f>115000+30000-3000</f>
        <v>142000</v>
      </c>
      <c r="M136" s="149">
        <f>83994+54924</f>
        <v>138918</v>
      </c>
      <c r="N136" s="198">
        <f>M136/L136*100</f>
        <v>97.829577464788727</v>
      </c>
      <c r="O136" s="149">
        <f t="shared" si="20"/>
        <v>142000</v>
      </c>
      <c r="P136" s="149">
        <f t="shared" si="21"/>
        <v>138918</v>
      </c>
      <c r="Q136" s="203">
        <f>P136/O136*100</f>
        <v>97.829577464788727</v>
      </c>
    </row>
    <row r="137" spans="2:17" x14ac:dyDescent="0.2">
      <c r="B137" s="72">
        <f t="shared" si="24"/>
        <v>129</v>
      </c>
      <c r="C137" s="75"/>
      <c r="D137" s="75"/>
      <c r="E137" s="75"/>
      <c r="F137" s="76"/>
      <c r="G137" s="75"/>
      <c r="H137" s="148" t="s">
        <v>593</v>
      </c>
      <c r="I137" s="149"/>
      <c r="J137" s="149"/>
      <c r="K137" s="195"/>
      <c r="L137" s="149">
        <f>100000-2000</f>
        <v>98000</v>
      </c>
      <c r="M137" s="149"/>
      <c r="N137" s="198">
        <f>M137/L137*100</f>
        <v>0</v>
      </c>
      <c r="O137" s="149">
        <f t="shared" si="20"/>
        <v>98000</v>
      </c>
      <c r="P137" s="149">
        <f t="shared" si="21"/>
        <v>0</v>
      </c>
      <c r="Q137" s="203">
        <f>P137/O137*100</f>
        <v>0</v>
      </c>
    </row>
    <row r="138" spans="2:17" x14ac:dyDescent="0.2">
      <c r="B138" s="72">
        <f t="shared" si="24"/>
        <v>130</v>
      </c>
      <c r="C138" s="75"/>
      <c r="D138" s="75"/>
      <c r="E138" s="75"/>
      <c r="F138" s="76"/>
      <c r="G138" s="75"/>
      <c r="H138" s="148" t="s">
        <v>594</v>
      </c>
      <c r="I138" s="149"/>
      <c r="J138" s="149"/>
      <c r="K138" s="195"/>
      <c r="L138" s="149">
        <f>45000-45000</f>
        <v>0</v>
      </c>
      <c r="M138" s="149"/>
      <c r="N138" s="198"/>
      <c r="O138" s="149">
        <f t="shared" si="20"/>
        <v>0</v>
      </c>
      <c r="P138" s="149">
        <f t="shared" si="21"/>
        <v>0</v>
      </c>
      <c r="Q138" s="203"/>
    </row>
    <row r="139" spans="2:17" x14ac:dyDescent="0.2">
      <c r="B139" s="72">
        <f t="shared" si="24"/>
        <v>131</v>
      </c>
      <c r="C139" s="75"/>
      <c r="D139" s="75"/>
      <c r="E139" s="75"/>
      <c r="F139" s="76"/>
      <c r="G139" s="75"/>
      <c r="H139" s="148" t="s">
        <v>595</v>
      </c>
      <c r="I139" s="149"/>
      <c r="J139" s="149"/>
      <c r="K139" s="195"/>
      <c r="L139" s="149">
        <v>70000</v>
      </c>
      <c r="M139" s="149"/>
      <c r="N139" s="198">
        <f t="shared" ref="N139:N148" si="25">M139/L139*100</f>
        <v>0</v>
      </c>
      <c r="O139" s="149">
        <f t="shared" si="20"/>
        <v>70000</v>
      </c>
      <c r="P139" s="149">
        <f t="shared" si="21"/>
        <v>0</v>
      </c>
      <c r="Q139" s="203">
        <f t="shared" ref="Q139:Q148" si="26">P139/O139*100</f>
        <v>0</v>
      </c>
    </row>
    <row r="140" spans="2:17" x14ac:dyDescent="0.2">
      <c r="B140" s="72">
        <f t="shared" si="24"/>
        <v>132</v>
      </c>
      <c r="C140" s="75"/>
      <c r="D140" s="75"/>
      <c r="E140" s="75"/>
      <c r="F140" s="76"/>
      <c r="G140" s="75"/>
      <c r="H140" s="148" t="s">
        <v>619</v>
      </c>
      <c r="I140" s="149"/>
      <c r="J140" s="149"/>
      <c r="K140" s="195"/>
      <c r="L140" s="149">
        <f>100000+51990-4500</f>
        <v>147490</v>
      </c>
      <c r="M140" s="149"/>
      <c r="N140" s="198">
        <f t="shared" si="25"/>
        <v>0</v>
      </c>
      <c r="O140" s="149">
        <f t="shared" si="20"/>
        <v>147490</v>
      </c>
      <c r="P140" s="149">
        <f t="shared" si="21"/>
        <v>0</v>
      </c>
      <c r="Q140" s="203">
        <f t="shared" si="26"/>
        <v>0</v>
      </c>
    </row>
    <row r="141" spans="2:17" ht="24" x14ac:dyDescent="0.2">
      <c r="B141" s="72">
        <f t="shared" si="24"/>
        <v>133</v>
      </c>
      <c r="C141" s="75"/>
      <c r="D141" s="75"/>
      <c r="E141" s="75"/>
      <c r="F141" s="76"/>
      <c r="G141" s="75"/>
      <c r="H141" s="148" t="s">
        <v>668</v>
      </c>
      <c r="I141" s="149"/>
      <c r="J141" s="149"/>
      <c r="K141" s="195"/>
      <c r="L141" s="149">
        <v>10000</v>
      </c>
      <c r="M141" s="149"/>
      <c r="N141" s="198">
        <f t="shared" si="25"/>
        <v>0</v>
      </c>
      <c r="O141" s="149">
        <f t="shared" si="20"/>
        <v>10000</v>
      </c>
      <c r="P141" s="149">
        <f t="shared" si="21"/>
        <v>0</v>
      </c>
      <c r="Q141" s="203">
        <f t="shared" si="26"/>
        <v>0</v>
      </c>
    </row>
    <row r="142" spans="2:17" x14ac:dyDescent="0.2">
      <c r="B142" s="72">
        <f t="shared" si="24"/>
        <v>134</v>
      </c>
      <c r="C142" s="75"/>
      <c r="D142" s="75"/>
      <c r="E142" s="75"/>
      <c r="F142" s="76"/>
      <c r="G142" s="75"/>
      <c r="H142" s="148" t="s">
        <v>669</v>
      </c>
      <c r="I142" s="149"/>
      <c r="J142" s="149"/>
      <c r="K142" s="195"/>
      <c r="L142" s="149">
        <v>5000</v>
      </c>
      <c r="M142" s="149"/>
      <c r="N142" s="198">
        <f t="shared" si="25"/>
        <v>0</v>
      </c>
      <c r="O142" s="149">
        <f t="shared" si="20"/>
        <v>5000</v>
      </c>
      <c r="P142" s="149">
        <f t="shared" si="21"/>
        <v>0</v>
      </c>
      <c r="Q142" s="203">
        <f t="shared" si="26"/>
        <v>0</v>
      </c>
    </row>
    <row r="143" spans="2:17" ht="24" x14ac:dyDescent="0.2">
      <c r="B143" s="72">
        <f t="shared" si="24"/>
        <v>135</v>
      </c>
      <c r="C143" s="75"/>
      <c r="D143" s="75"/>
      <c r="E143" s="75"/>
      <c r="F143" s="76"/>
      <c r="G143" s="75"/>
      <c r="H143" s="148" t="s">
        <v>712</v>
      </c>
      <c r="I143" s="149"/>
      <c r="J143" s="149"/>
      <c r="K143" s="195"/>
      <c r="L143" s="149">
        <v>45000</v>
      </c>
      <c r="M143" s="149">
        <v>45000</v>
      </c>
      <c r="N143" s="198">
        <f t="shared" si="25"/>
        <v>100</v>
      </c>
      <c r="O143" s="149">
        <f t="shared" si="20"/>
        <v>45000</v>
      </c>
      <c r="P143" s="149">
        <f t="shared" si="21"/>
        <v>45000</v>
      </c>
      <c r="Q143" s="203">
        <f t="shared" si="26"/>
        <v>100</v>
      </c>
    </row>
    <row r="144" spans="2:17" x14ac:dyDescent="0.2">
      <c r="B144" s="72">
        <f t="shared" si="24"/>
        <v>136</v>
      </c>
      <c r="C144" s="75"/>
      <c r="D144" s="75"/>
      <c r="E144" s="75"/>
      <c r="F144" s="76"/>
      <c r="G144" s="75"/>
      <c r="H144" s="148" t="s">
        <v>717</v>
      </c>
      <c r="I144" s="149"/>
      <c r="J144" s="149"/>
      <c r="K144" s="195"/>
      <c r="L144" s="149">
        <v>100000</v>
      </c>
      <c r="M144" s="149"/>
      <c r="N144" s="198">
        <f t="shared" si="25"/>
        <v>0</v>
      </c>
      <c r="O144" s="149">
        <f t="shared" si="20"/>
        <v>100000</v>
      </c>
      <c r="P144" s="149">
        <f t="shared" si="21"/>
        <v>0</v>
      </c>
      <c r="Q144" s="203">
        <f t="shared" si="26"/>
        <v>0</v>
      </c>
    </row>
    <row r="145" spans="2:17" x14ac:dyDescent="0.2">
      <c r="B145" s="72">
        <f t="shared" si="24"/>
        <v>137</v>
      </c>
      <c r="C145" s="75"/>
      <c r="D145" s="75"/>
      <c r="E145" s="75"/>
      <c r="F145" s="76"/>
      <c r="G145" s="75"/>
      <c r="H145" s="148" t="s">
        <v>746</v>
      </c>
      <c r="I145" s="149"/>
      <c r="J145" s="149"/>
      <c r="K145" s="195"/>
      <c r="L145" s="149">
        <v>10000</v>
      </c>
      <c r="M145" s="149"/>
      <c r="N145" s="198">
        <f t="shared" si="25"/>
        <v>0</v>
      </c>
      <c r="O145" s="149">
        <f t="shared" si="20"/>
        <v>10000</v>
      </c>
      <c r="P145" s="149">
        <f t="shared" si="21"/>
        <v>0</v>
      </c>
      <c r="Q145" s="203">
        <f t="shared" si="26"/>
        <v>0</v>
      </c>
    </row>
    <row r="146" spans="2:17" x14ac:dyDescent="0.2">
      <c r="B146" s="72">
        <f t="shared" si="24"/>
        <v>138</v>
      </c>
      <c r="C146" s="4"/>
      <c r="D146" s="4"/>
      <c r="E146" s="4"/>
      <c r="F146" s="52" t="s">
        <v>5</v>
      </c>
      <c r="G146" s="12">
        <v>720</v>
      </c>
      <c r="H146" s="12" t="s">
        <v>428</v>
      </c>
      <c r="I146" s="49">
        <f>I147</f>
        <v>0</v>
      </c>
      <c r="J146" s="49">
        <f>J147</f>
        <v>0</v>
      </c>
      <c r="K146" s="195"/>
      <c r="L146" s="49">
        <f>L147</f>
        <v>278676</v>
      </c>
      <c r="M146" s="49">
        <f>M147</f>
        <v>278224</v>
      </c>
      <c r="N146" s="198">
        <f t="shared" si="25"/>
        <v>99.837804475448195</v>
      </c>
      <c r="O146" s="49">
        <f t="shared" si="20"/>
        <v>278676</v>
      </c>
      <c r="P146" s="49">
        <f t="shared" si="21"/>
        <v>278224</v>
      </c>
      <c r="Q146" s="203">
        <f t="shared" si="26"/>
        <v>99.837804475448195</v>
      </c>
    </row>
    <row r="147" spans="2:17" x14ac:dyDescent="0.2">
      <c r="B147" s="72">
        <f t="shared" si="24"/>
        <v>139</v>
      </c>
      <c r="C147" s="4"/>
      <c r="D147" s="4"/>
      <c r="E147" s="4"/>
      <c r="F147" s="82" t="s">
        <v>5</v>
      </c>
      <c r="G147" s="83">
        <v>720</v>
      </c>
      <c r="H147" s="83" t="s">
        <v>428</v>
      </c>
      <c r="I147" s="84"/>
      <c r="J147" s="84"/>
      <c r="K147" s="195"/>
      <c r="L147" s="84">
        <f>L148</f>
        <v>278676</v>
      </c>
      <c r="M147" s="84">
        <f>M148</f>
        <v>278224</v>
      </c>
      <c r="N147" s="198">
        <f t="shared" si="25"/>
        <v>99.837804475448195</v>
      </c>
      <c r="O147" s="84">
        <f t="shared" si="20"/>
        <v>278676</v>
      </c>
      <c r="P147" s="84">
        <f t="shared" si="21"/>
        <v>278224</v>
      </c>
      <c r="Q147" s="203">
        <f t="shared" si="26"/>
        <v>99.837804475448195</v>
      </c>
    </row>
    <row r="148" spans="2:17" x14ac:dyDescent="0.2">
      <c r="B148" s="72">
        <f t="shared" si="24"/>
        <v>140</v>
      </c>
      <c r="C148" s="4"/>
      <c r="D148" s="4"/>
      <c r="E148" s="4"/>
      <c r="F148" s="102"/>
      <c r="G148" s="101">
        <v>723</v>
      </c>
      <c r="H148" s="101" t="s">
        <v>515</v>
      </c>
      <c r="I148" s="73"/>
      <c r="J148" s="73"/>
      <c r="K148" s="195"/>
      <c r="L148" s="73">
        <f>297675-82549+63550</f>
        <v>278676</v>
      </c>
      <c r="M148" s="73">
        <v>278224</v>
      </c>
      <c r="N148" s="198">
        <f t="shared" si="25"/>
        <v>99.837804475448195</v>
      </c>
      <c r="O148" s="73">
        <f t="shared" si="20"/>
        <v>278676</v>
      </c>
      <c r="P148" s="73">
        <f t="shared" si="21"/>
        <v>278224</v>
      </c>
      <c r="Q148" s="203">
        <f t="shared" si="26"/>
        <v>99.837804475448195</v>
      </c>
    </row>
    <row r="149" spans="2:17" x14ac:dyDescent="0.2">
      <c r="Q149" s="199"/>
    </row>
    <row r="150" spans="2:17" x14ac:dyDescent="0.2">
      <c r="Q150" s="199"/>
    </row>
  </sheetData>
  <mergeCells count="22">
    <mergeCell ref="C9:H9"/>
    <mergeCell ref="D10:H10"/>
    <mergeCell ref="D14:H14"/>
    <mergeCell ref="D47:H47"/>
    <mergeCell ref="B3:O3"/>
    <mergeCell ref="O4:O8"/>
    <mergeCell ref="B5:B8"/>
    <mergeCell ref="C5:C8"/>
    <mergeCell ref="D5:D8"/>
    <mergeCell ref="M5:M8"/>
    <mergeCell ref="N5:N8"/>
    <mergeCell ref="B4:N4"/>
    <mergeCell ref="P4:P8"/>
    <mergeCell ref="Q4:Q8"/>
    <mergeCell ref="E5:E8"/>
    <mergeCell ref="F5:F8"/>
    <mergeCell ref="G5:G8"/>
    <mergeCell ref="H5:H8"/>
    <mergeCell ref="I5:I8"/>
    <mergeCell ref="L5:L8"/>
    <mergeCell ref="J5:J8"/>
    <mergeCell ref="K5:K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851"/>
  <sheetViews>
    <sheetView zoomScale="90" zoomScaleNormal="90" workbookViewId="0"/>
  </sheetViews>
  <sheetFormatPr defaultRowHeight="12.75" x14ac:dyDescent="0.2"/>
  <cols>
    <col min="2" max="2" width="5.42578125" customWidth="1"/>
    <col min="3" max="3" width="4.7109375" customWidth="1"/>
    <col min="4" max="4" width="6" customWidth="1"/>
    <col min="5" max="5" width="5.28515625" customWidth="1"/>
    <col min="6" max="6" width="6.85546875" customWidth="1"/>
    <col min="7" max="7" width="4.7109375" customWidth="1"/>
    <col min="8" max="8" width="56.28515625" customWidth="1"/>
    <col min="9" max="9" width="14.5703125" customWidth="1"/>
    <col min="10" max="10" width="14" customWidth="1"/>
    <col min="11" max="11" width="5.7109375" customWidth="1"/>
    <col min="12" max="12" width="13.7109375" customWidth="1"/>
    <col min="13" max="13" width="12.140625" customWidth="1"/>
    <col min="14" max="14" width="7.42578125" style="209" customWidth="1"/>
    <col min="15" max="15" width="12.42578125" customWidth="1"/>
    <col min="16" max="16" width="12.85546875" customWidth="1"/>
    <col min="17" max="17" width="7.42578125" customWidth="1"/>
  </cols>
  <sheetData>
    <row r="3" spans="2:17" ht="27" x14ac:dyDescent="0.35">
      <c r="B3" s="264" t="s">
        <v>302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</row>
    <row r="4" spans="2:17" x14ac:dyDescent="0.2">
      <c r="B4" s="271" t="s">
        <v>280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5"/>
      <c r="O4" s="261" t="s">
        <v>575</v>
      </c>
      <c r="P4" s="250" t="s">
        <v>768</v>
      </c>
      <c r="Q4" s="251" t="s">
        <v>765</v>
      </c>
    </row>
    <row r="5" spans="2:17" x14ac:dyDescent="0.2">
      <c r="B5" s="266" t="s">
        <v>111</v>
      </c>
      <c r="C5" s="255" t="s">
        <v>119</v>
      </c>
      <c r="D5" s="255" t="s">
        <v>120</v>
      </c>
      <c r="E5" s="258" t="s">
        <v>124</v>
      </c>
      <c r="F5" s="255" t="s">
        <v>121</v>
      </c>
      <c r="G5" s="255" t="s">
        <v>122</v>
      </c>
      <c r="H5" s="273" t="s">
        <v>123</v>
      </c>
      <c r="I5" s="261" t="s">
        <v>572</v>
      </c>
      <c r="J5" s="250" t="s">
        <v>766</v>
      </c>
      <c r="K5" s="251" t="s">
        <v>765</v>
      </c>
      <c r="L5" s="261" t="s">
        <v>573</v>
      </c>
      <c r="M5" s="250" t="s">
        <v>767</v>
      </c>
      <c r="N5" s="277" t="s">
        <v>765</v>
      </c>
      <c r="O5" s="262"/>
      <c r="P5" s="250"/>
      <c r="Q5" s="251"/>
    </row>
    <row r="6" spans="2:17" x14ac:dyDescent="0.2">
      <c r="B6" s="266"/>
      <c r="C6" s="255"/>
      <c r="D6" s="255"/>
      <c r="E6" s="259"/>
      <c r="F6" s="255"/>
      <c r="G6" s="255"/>
      <c r="H6" s="273"/>
      <c r="I6" s="262"/>
      <c r="J6" s="250"/>
      <c r="K6" s="251"/>
      <c r="L6" s="262"/>
      <c r="M6" s="250"/>
      <c r="N6" s="277"/>
      <c r="O6" s="262"/>
      <c r="P6" s="250"/>
      <c r="Q6" s="251"/>
    </row>
    <row r="7" spans="2:17" x14ac:dyDescent="0.2">
      <c r="B7" s="266"/>
      <c r="C7" s="255"/>
      <c r="D7" s="255"/>
      <c r="E7" s="259"/>
      <c r="F7" s="255"/>
      <c r="G7" s="255"/>
      <c r="H7" s="273"/>
      <c r="I7" s="262"/>
      <c r="J7" s="250"/>
      <c r="K7" s="251"/>
      <c r="L7" s="262"/>
      <c r="M7" s="250"/>
      <c r="N7" s="277"/>
      <c r="O7" s="262"/>
      <c r="P7" s="250"/>
      <c r="Q7" s="251"/>
    </row>
    <row r="8" spans="2:17" ht="13.5" thickBot="1" x14ac:dyDescent="0.25">
      <c r="B8" s="267"/>
      <c r="C8" s="256"/>
      <c r="D8" s="256"/>
      <c r="E8" s="260"/>
      <c r="F8" s="256"/>
      <c r="G8" s="256"/>
      <c r="H8" s="274"/>
      <c r="I8" s="263"/>
      <c r="J8" s="250"/>
      <c r="K8" s="251"/>
      <c r="L8" s="263"/>
      <c r="M8" s="250"/>
      <c r="N8" s="277"/>
      <c r="O8" s="263"/>
      <c r="P8" s="250"/>
      <c r="Q8" s="251"/>
    </row>
    <row r="9" spans="2:17" ht="16.5" thickTop="1" x14ac:dyDescent="0.2">
      <c r="B9" s="71">
        <v>1</v>
      </c>
      <c r="C9" s="268" t="s">
        <v>302</v>
      </c>
      <c r="D9" s="269"/>
      <c r="E9" s="269"/>
      <c r="F9" s="269"/>
      <c r="G9" s="269"/>
      <c r="H9" s="270"/>
      <c r="I9" s="44">
        <f>I818+I569+I466+I220+I10</f>
        <v>14066284</v>
      </c>
      <c r="J9" s="44">
        <f>J818+J569+J466+J220+J10</f>
        <v>13975180</v>
      </c>
      <c r="K9" s="198">
        <f t="shared" ref="K9:K28" si="0">J9/I9*100</f>
        <v>99.352323612974118</v>
      </c>
      <c r="L9" s="44">
        <f>L818+L569+L466+L220+L10</f>
        <v>1344852</v>
      </c>
      <c r="M9" s="44">
        <f>M818+M569+M466+M220+M10</f>
        <v>960953</v>
      </c>
      <c r="N9" s="198">
        <f>M9/L9*100</f>
        <v>71.454182318946621</v>
      </c>
      <c r="O9" s="44">
        <f t="shared" ref="O9:O29" si="1">L9+I9</f>
        <v>15411136</v>
      </c>
      <c r="P9" s="44">
        <f t="shared" ref="P9:P29" si="2">M9+J9</f>
        <v>14936133</v>
      </c>
      <c r="Q9" s="203">
        <f t="shared" ref="Q9:Q40" si="3">P9/O9*100</f>
        <v>96.917793730455699</v>
      </c>
    </row>
    <row r="10" spans="2:17" ht="15" x14ac:dyDescent="0.2">
      <c r="B10" s="72">
        <f>B9+1</f>
        <v>2</v>
      </c>
      <c r="C10" s="179">
        <v>1</v>
      </c>
      <c r="D10" s="257" t="s">
        <v>199</v>
      </c>
      <c r="E10" s="253"/>
      <c r="F10" s="253"/>
      <c r="G10" s="253"/>
      <c r="H10" s="254"/>
      <c r="I10" s="45">
        <f>I11+I19+I33</f>
        <v>3427998</v>
      </c>
      <c r="J10" s="45">
        <f>J11+J19+J33</f>
        <v>3401228</v>
      </c>
      <c r="K10" s="198">
        <f t="shared" si="0"/>
        <v>99.21907772408268</v>
      </c>
      <c r="L10" s="45">
        <f>L11+L19+L33</f>
        <v>730956</v>
      </c>
      <c r="M10" s="45">
        <f>M11+M19+M33</f>
        <v>715358</v>
      </c>
      <c r="N10" s="198">
        <f>M10/L10*100</f>
        <v>97.866082226563563</v>
      </c>
      <c r="O10" s="45">
        <f t="shared" si="1"/>
        <v>4158954</v>
      </c>
      <c r="P10" s="45">
        <f t="shared" si="2"/>
        <v>4116586</v>
      </c>
      <c r="Q10" s="203">
        <f t="shared" si="3"/>
        <v>98.981282312812311</v>
      </c>
    </row>
    <row r="11" spans="2:17" x14ac:dyDescent="0.2">
      <c r="B11" s="72">
        <f t="shared" ref="B11:B46" si="4">B10+1</f>
        <v>3</v>
      </c>
      <c r="C11" s="12"/>
      <c r="D11" s="12"/>
      <c r="E11" s="12"/>
      <c r="F11" s="52" t="s">
        <v>198</v>
      </c>
      <c r="G11" s="12">
        <v>640</v>
      </c>
      <c r="H11" s="12" t="s">
        <v>134</v>
      </c>
      <c r="I11" s="49">
        <f>SUM(I12:I18)</f>
        <v>366099</v>
      </c>
      <c r="J11" s="49">
        <f>SUM(J12:J18)</f>
        <v>366099</v>
      </c>
      <c r="K11" s="198">
        <f t="shared" si="0"/>
        <v>100</v>
      </c>
      <c r="L11" s="49"/>
      <c r="M11" s="49"/>
      <c r="N11" s="198"/>
      <c r="O11" s="49">
        <f t="shared" si="1"/>
        <v>366099</v>
      </c>
      <c r="P11" s="49">
        <f t="shared" si="2"/>
        <v>366099</v>
      </c>
      <c r="Q11" s="203">
        <f t="shared" si="3"/>
        <v>100</v>
      </c>
    </row>
    <row r="12" spans="2:17" x14ac:dyDescent="0.2">
      <c r="B12" s="72">
        <f t="shared" si="4"/>
        <v>4</v>
      </c>
      <c r="C12" s="12"/>
      <c r="D12" s="12"/>
      <c r="E12" s="12"/>
      <c r="F12" s="52"/>
      <c r="G12" s="12"/>
      <c r="H12" s="60" t="s">
        <v>248</v>
      </c>
      <c r="I12" s="58">
        <v>95582</v>
      </c>
      <c r="J12" s="58">
        <v>95582</v>
      </c>
      <c r="K12" s="198">
        <f t="shared" si="0"/>
        <v>100</v>
      </c>
      <c r="L12" s="58"/>
      <c r="M12" s="58"/>
      <c r="N12" s="198"/>
      <c r="O12" s="58">
        <f t="shared" si="1"/>
        <v>95582</v>
      </c>
      <c r="P12" s="58">
        <f t="shared" si="2"/>
        <v>95582</v>
      </c>
      <c r="Q12" s="203">
        <f t="shared" si="3"/>
        <v>100</v>
      </c>
    </row>
    <row r="13" spans="2:17" x14ac:dyDescent="0.2">
      <c r="B13" s="72">
        <f t="shared" si="4"/>
        <v>5</v>
      </c>
      <c r="C13" s="12"/>
      <c r="D13" s="12"/>
      <c r="E13" s="12"/>
      <c r="F13" s="52"/>
      <c r="G13" s="12"/>
      <c r="H13" s="60" t="s">
        <v>368</v>
      </c>
      <c r="I13" s="58">
        <v>73941</v>
      </c>
      <c r="J13" s="58">
        <v>73941</v>
      </c>
      <c r="K13" s="198">
        <f t="shared" si="0"/>
        <v>100</v>
      </c>
      <c r="L13" s="58"/>
      <c r="M13" s="58"/>
      <c r="N13" s="198"/>
      <c r="O13" s="58">
        <f t="shared" si="1"/>
        <v>73941</v>
      </c>
      <c r="P13" s="58">
        <f t="shared" si="2"/>
        <v>73941</v>
      </c>
      <c r="Q13" s="203">
        <f t="shared" si="3"/>
        <v>100</v>
      </c>
    </row>
    <row r="14" spans="2:17" x14ac:dyDescent="0.2">
      <c r="B14" s="72">
        <f t="shared" si="4"/>
        <v>6</v>
      </c>
      <c r="C14" s="12"/>
      <c r="D14" s="12"/>
      <c r="E14" s="12"/>
      <c r="F14" s="52"/>
      <c r="G14" s="12"/>
      <c r="H14" s="60" t="s">
        <v>369</v>
      </c>
      <c r="I14" s="58">
        <v>45086</v>
      </c>
      <c r="J14" s="58">
        <v>45086</v>
      </c>
      <c r="K14" s="198">
        <f t="shared" si="0"/>
        <v>100</v>
      </c>
      <c r="L14" s="58"/>
      <c r="M14" s="58"/>
      <c r="N14" s="198"/>
      <c r="O14" s="58">
        <f t="shared" si="1"/>
        <v>45086</v>
      </c>
      <c r="P14" s="58">
        <f t="shared" si="2"/>
        <v>45086</v>
      </c>
      <c r="Q14" s="203">
        <f t="shared" si="3"/>
        <v>100</v>
      </c>
    </row>
    <row r="15" spans="2:17" x14ac:dyDescent="0.2">
      <c r="B15" s="72">
        <f t="shared" si="4"/>
        <v>7</v>
      </c>
      <c r="C15" s="12"/>
      <c r="D15" s="12"/>
      <c r="E15" s="12"/>
      <c r="F15" s="52"/>
      <c r="G15" s="12"/>
      <c r="H15" s="60" t="s">
        <v>288</v>
      </c>
      <c r="I15" s="58">
        <v>21642</v>
      </c>
      <c r="J15" s="58">
        <v>21642</v>
      </c>
      <c r="K15" s="198">
        <f t="shared" si="0"/>
        <v>100</v>
      </c>
      <c r="L15" s="58"/>
      <c r="M15" s="58"/>
      <c r="N15" s="198"/>
      <c r="O15" s="58">
        <f t="shared" si="1"/>
        <v>21642</v>
      </c>
      <c r="P15" s="58">
        <f t="shared" si="2"/>
        <v>21642</v>
      </c>
      <c r="Q15" s="203">
        <f t="shared" si="3"/>
        <v>100</v>
      </c>
    </row>
    <row r="16" spans="2:17" x14ac:dyDescent="0.2">
      <c r="B16" s="72">
        <f t="shared" si="4"/>
        <v>8</v>
      </c>
      <c r="C16" s="12"/>
      <c r="D16" s="12"/>
      <c r="E16" s="12"/>
      <c r="F16" s="52"/>
      <c r="G16" s="12"/>
      <c r="H16" s="60" t="s">
        <v>289</v>
      </c>
      <c r="I16" s="58">
        <v>36069</v>
      </c>
      <c r="J16" s="58">
        <v>36069</v>
      </c>
      <c r="K16" s="198">
        <f t="shared" si="0"/>
        <v>100</v>
      </c>
      <c r="L16" s="58"/>
      <c r="M16" s="58"/>
      <c r="N16" s="198"/>
      <c r="O16" s="58">
        <f t="shared" si="1"/>
        <v>36069</v>
      </c>
      <c r="P16" s="58">
        <f t="shared" si="2"/>
        <v>36069</v>
      </c>
      <c r="Q16" s="203">
        <f t="shared" si="3"/>
        <v>100</v>
      </c>
    </row>
    <row r="17" spans="2:17" x14ac:dyDescent="0.2">
      <c r="B17" s="72">
        <f t="shared" si="4"/>
        <v>9</v>
      </c>
      <c r="C17" s="12"/>
      <c r="D17" s="12"/>
      <c r="E17" s="12"/>
      <c r="F17" s="52"/>
      <c r="G17" s="12"/>
      <c r="H17" s="60" t="s">
        <v>290</v>
      </c>
      <c r="I17" s="58">
        <v>75744</v>
      </c>
      <c r="J17" s="58">
        <v>75744</v>
      </c>
      <c r="K17" s="198">
        <f t="shared" si="0"/>
        <v>100</v>
      </c>
      <c r="L17" s="58"/>
      <c r="M17" s="58"/>
      <c r="N17" s="198"/>
      <c r="O17" s="58">
        <f t="shared" si="1"/>
        <v>75744</v>
      </c>
      <c r="P17" s="58">
        <f t="shared" si="2"/>
        <v>75744</v>
      </c>
      <c r="Q17" s="203">
        <f t="shared" si="3"/>
        <v>100</v>
      </c>
    </row>
    <row r="18" spans="2:17" x14ac:dyDescent="0.2">
      <c r="B18" s="72">
        <f t="shared" si="4"/>
        <v>10</v>
      </c>
      <c r="C18" s="12"/>
      <c r="D18" s="12"/>
      <c r="E18" s="12"/>
      <c r="F18" s="52"/>
      <c r="G18" s="12"/>
      <c r="H18" s="60" t="s">
        <v>642</v>
      </c>
      <c r="I18" s="58">
        <v>18035</v>
      </c>
      <c r="J18" s="58">
        <v>18035</v>
      </c>
      <c r="K18" s="198">
        <f t="shared" si="0"/>
        <v>100</v>
      </c>
      <c r="L18" s="58"/>
      <c r="M18" s="58"/>
      <c r="N18" s="198"/>
      <c r="O18" s="58">
        <f t="shared" si="1"/>
        <v>18035</v>
      </c>
      <c r="P18" s="58">
        <f t="shared" si="2"/>
        <v>18035</v>
      </c>
      <c r="Q18" s="203">
        <f t="shared" si="3"/>
        <v>100</v>
      </c>
    </row>
    <row r="19" spans="2:17" ht="15" x14ac:dyDescent="0.25">
      <c r="B19" s="72">
        <f t="shared" si="4"/>
        <v>11</v>
      </c>
      <c r="C19" s="15"/>
      <c r="D19" s="15"/>
      <c r="E19" s="15">
        <v>3</v>
      </c>
      <c r="F19" s="50"/>
      <c r="G19" s="15"/>
      <c r="H19" s="15" t="s">
        <v>268</v>
      </c>
      <c r="I19" s="47">
        <f>I20+I21+I22+I28</f>
        <v>419227</v>
      </c>
      <c r="J19" s="47">
        <f>J20+J21+J22+J28</f>
        <v>419384</v>
      </c>
      <c r="K19" s="198">
        <f t="shared" si="0"/>
        <v>100.03744987798973</v>
      </c>
      <c r="L19" s="47">
        <f>L20+L21+L22+L28+L31+L29</f>
        <v>64660</v>
      </c>
      <c r="M19" s="47">
        <f>M20+M21+M22+M28+M31+M29</f>
        <v>64490</v>
      </c>
      <c r="N19" s="198">
        <f>M19/L19*100</f>
        <v>99.737086297556459</v>
      </c>
      <c r="O19" s="47">
        <f t="shared" si="1"/>
        <v>483887</v>
      </c>
      <c r="P19" s="47">
        <f t="shared" si="2"/>
        <v>483874</v>
      </c>
      <c r="Q19" s="203">
        <f t="shared" si="3"/>
        <v>99.997313422348611</v>
      </c>
    </row>
    <row r="20" spans="2:17" x14ac:dyDescent="0.2">
      <c r="B20" s="72">
        <f t="shared" si="4"/>
        <v>12</v>
      </c>
      <c r="C20" s="12"/>
      <c r="D20" s="12"/>
      <c r="E20" s="12"/>
      <c r="F20" s="52" t="s">
        <v>198</v>
      </c>
      <c r="G20" s="12">
        <v>610</v>
      </c>
      <c r="H20" s="12" t="s">
        <v>135</v>
      </c>
      <c r="I20" s="49">
        <f>233795+1300+1849</f>
        <v>236944</v>
      </c>
      <c r="J20" s="49">
        <v>236944</v>
      </c>
      <c r="K20" s="198">
        <f t="shared" si="0"/>
        <v>100</v>
      </c>
      <c r="L20" s="49"/>
      <c r="M20" s="49"/>
      <c r="N20" s="198"/>
      <c r="O20" s="49">
        <f t="shared" si="1"/>
        <v>236944</v>
      </c>
      <c r="P20" s="49">
        <f t="shared" si="2"/>
        <v>236944</v>
      </c>
      <c r="Q20" s="203">
        <f t="shared" si="3"/>
        <v>100</v>
      </c>
    </row>
    <row r="21" spans="2:17" x14ac:dyDescent="0.2">
      <c r="B21" s="72">
        <f t="shared" si="4"/>
        <v>13</v>
      </c>
      <c r="C21" s="12"/>
      <c r="D21" s="12"/>
      <c r="E21" s="12"/>
      <c r="F21" s="52" t="s">
        <v>198</v>
      </c>
      <c r="G21" s="12">
        <v>620</v>
      </c>
      <c r="H21" s="12" t="s">
        <v>130</v>
      </c>
      <c r="I21" s="49">
        <f>88720+700</f>
        <v>89420</v>
      </c>
      <c r="J21" s="49">
        <v>89420</v>
      </c>
      <c r="K21" s="198">
        <f t="shared" si="0"/>
        <v>100</v>
      </c>
      <c r="L21" s="49"/>
      <c r="M21" s="49"/>
      <c r="N21" s="198"/>
      <c r="O21" s="49">
        <f t="shared" si="1"/>
        <v>89420</v>
      </c>
      <c r="P21" s="49">
        <f t="shared" si="2"/>
        <v>89420</v>
      </c>
      <c r="Q21" s="203">
        <f t="shared" si="3"/>
        <v>100</v>
      </c>
    </row>
    <row r="22" spans="2:17" x14ac:dyDescent="0.2">
      <c r="B22" s="72">
        <f t="shared" si="4"/>
        <v>14</v>
      </c>
      <c r="C22" s="12"/>
      <c r="D22" s="12"/>
      <c r="E22" s="12"/>
      <c r="F22" s="52" t="s">
        <v>198</v>
      </c>
      <c r="G22" s="12">
        <v>630</v>
      </c>
      <c r="H22" s="12" t="s">
        <v>127</v>
      </c>
      <c r="I22" s="49">
        <f>I27+I26+I25+I24+I23</f>
        <v>90483</v>
      </c>
      <c r="J22" s="49">
        <f>J27+J26+J25+J24+J23</f>
        <v>90640</v>
      </c>
      <c r="K22" s="198">
        <f t="shared" si="0"/>
        <v>100.17351325663384</v>
      </c>
      <c r="L22" s="49">
        <f>L27+L26+L25+L24+L23</f>
        <v>0</v>
      </c>
      <c r="M22" s="49">
        <f>M27+M26+M25+M24+M23</f>
        <v>0</v>
      </c>
      <c r="N22" s="198"/>
      <c r="O22" s="49">
        <f t="shared" si="1"/>
        <v>90483</v>
      </c>
      <c r="P22" s="49">
        <f t="shared" si="2"/>
        <v>90640</v>
      </c>
      <c r="Q22" s="203">
        <f t="shared" si="3"/>
        <v>100.17351325663384</v>
      </c>
    </row>
    <row r="23" spans="2:17" x14ac:dyDescent="0.2">
      <c r="B23" s="72">
        <f t="shared" si="4"/>
        <v>15</v>
      </c>
      <c r="C23" s="4"/>
      <c r="D23" s="4"/>
      <c r="E23" s="4"/>
      <c r="F23" s="53" t="s">
        <v>198</v>
      </c>
      <c r="G23" s="4">
        <v>632</v>
      </c>
      <c r="H23" s="4" t="s">
        <v>138</v>
      </c>
      <c r="I23" s="23">
        <v>49700</v>
      </c>
      <c r="J23" s="23">
        <v>49707</v>
      </c>
      <c r="K23" s="198">
        <f t="shared" si="0"/>
        <v>100.01408450704226</v>
      </c>
      <c r="L23" s="23"/>
      <c r="M23" s="23"/>
      <c r="N23" s="198"/>
      <c r="O23" s="23">
        <f t="shared" si="1"/>
        <v>49700</v>
      </c>
      <c r="P23" s="23">
        <f t="shared" si="2"/>
        <v>49707</v>
      </c>
      <c r="Q23" s="203">
        <f t="shared" si="3"/>
        <v>100.01408450704226</v>
      </c>
    </row>
    <row r="24" spans="2:17" x14ac:dyDescent="0.2">
      <c r="B24" s="72">
        <f t="shared" si="4"/>
        <v>16</v>
      </c>
      <c r="C24" s="4"/>
      <c r="D24" s="4"/>
      <c r="E24" s="4"/>
      <c r="F24" s="53" t="s">
        <v>198</v>
      </c>
      <c r="G24" s="4">
        <v>633</v>
      </c>
      <c r="H24" s="4" t="s">
        <v>131</v>
      </c>
      <c r="I24" s="23">
        <f>18864+3424+1664</f>
        <v>23952</v>
      </c>
      <c r="J24" s="23">
        <v>24068</v>
      </c>
      <c r="K24" s="198">
        <f t="shared" si="0"/>
        <v>100.48430193720775</v>
      </c>
      <c r="L24" s="23"/>
      <c r="M24" s="23"/>
      <c r="N24" s="198"/>
      <c r="O24" s="23">
        <f t="shared" si="1"/>
        <v>23952</v>
      </c>
      <c r="P24" s="23">
        <f t="shared" si="2"/>
        <v>24068</v>
      </c>
      <c r="Q24" s="203">
        <f t="shared" si="3"/>
        <v>100.48430193720775</v>
      </c>
    </row>
    <row r="25" spans="2:17" x14ac:dyDescent="0.2">
      <c r="B25" s="72">
        <f t="shared" si="4"/>
        <v>17</v>
      </c>
      <c r="C25" s="4"/>
      <c r="D25" s="4"/>
      <c r="E25" s="4"/>
      <c r="F25" s="53" t="s">
        <v>198</v>
      </c>
      <c r="G25" s="4">
        <v>635</v>
      </c>
      <c r="H25" s="4" t="s">
        <v>137</v>
      </c>
      <c r="I25" s="23">
        <f>1000+1051</f>
        <v>2051</v>
      </c>
      <c r="J25" s="23">
        <v>2051</v>
      </c>
      <c r="K25" s="198">
        <f t="shared" si="0"/>
        <v>100</v>
      </c>
      <c r="L25" s="23"/>
      <c r="M25" s="23"/>
      <c r="N25" s="198"/>
      <c r="O25" s="23">
        <f t="shared" si="1"/>
        <v>2051</v>
      </c>
      <c r="P25" s="23">
        <f t="shared" si="2"/>
        <v>2051</v>
      </c>
      <c r="Q25" s="203">
        <f t="shared" si="3"/>
        <v>100</v>
      </c>
    </row>
    <row r="26" spans="2:17" x14ac:dyDescent="0.2">
      <c r="B26" s="72">
        <f t="shared" si="4"/>
        <v>18</v>
      </c>
      <c r="C26" s="4"/>
      <c r="D26" s="4"/>
      <c r="E26" s="4"/>
      <c r="F26" s="53" t="s">
        <v>198</v>
      </c>
      <c r="G26" s="4">
        <v>636</v>
      </c>
      <c r="H26" s="4" t="s">
        <v>132</v>
      </c>
      <c r="I26" s="23">
        <v>7200</v>
      </c>
      <c r="J26" s="23">
        <v>7200</v>
      </c>
      <c r="K26" s="198">
        <f t="shared" si="0"/>
        <v>100</v>
      </c>
      <c r="L26" s="23"/>
      <c r="M26" s="23"/>
      <c r="N26" s="198"/>
      <c r="O26" s="23">
        <f t="shared" si="1"/>
        <v>7200</v>
      </c>
      <c r="P26" s="23">
        <f t="shared" si="2"/>
        <v>7200</v>
      </c>
      <c r="Q26" s="203">
        <f t="shared" si="3"/>
        <v>100</v>
      </c>
    </row>
    <row r="27" spans="2:17" x14ac:dyDescent="0.2">
      <c r="B27" s="72">
        <f t="shared" si="4"/>
        <v>19</v>
      </c>
      <c r="C27" s="4"/>
      <c r="D27" s="4"/>
      <c r="E27" s="4"/>
      <c r="F27" s="53" t="s">
        <v>198</v>
      </c>
      <c r="G27" s="4">
        <v>637</v>
      </c>
      <c r="H27" s="4" t="s">
        <v>128</v>
      </c>
      <c r="I27" s="23">
        <v>7580</v>
      </c>
      <c r="J27" s="23">
        <v>7614</v>
      </c>
      <c r="K27" s="198">
        <f t="shared" si="0"/>
        <v>100.44854881266491</v>
      </c>
      <c r="L27" s="23"/>
      <c r="M27" s="23"/>
      <c r="N27" s="198"/>
      <c r="O27" s="23">
        <f t="shared" si="1"/>
        <v>7580</v>
      </c>
      <c r="P27" s="23">
        <f t="shared" si="2"/>
        <v>7614</v>
      </c>
      <c r="Q27" s="203">
        <f t="shared" si="3"/>
        <v>100.44854881266491</v>
      </c>
    </row>
    <row r="28" spans="2:17" x14ac:dyDescent="0.2">
      <c r="B28" s="72">
        <f t="shared" si="4"/>
        <v>20</v>
      </c>
      <c r="C28" s="12"/>
      <c r="D28" s="12"/>
      <c r="E28" s="12"/>
      <c r="F28" s="52" t="s">
        <v>198</v>
      </c>
      <c r="G28" s="12">
        <v>640</v>
      </c>
      <c r="H28" s="12" t="s">
        <v>134</v>
      </c>
      <c r="I28" s="49">
        <f>5280-2900</f>
        <v>2380</v>
      </c>
      <c r="J28" s="49">
        <v>2380</v>
      </c>
      <c r="K28" s="198">
        <f t="shared" si="0"/>
        <v>100</v>
      </c>
      <c r="L28" s="49"/>
      <c r="M28" s="49"/>
      <c r="N28" s="198"/>
      <c r="O28" s="49">
        <f t="shared" si="1"/>
        <v>2380</v>
      </c>
      <c r="P28" s="49">
        <f t="shared" si="2"/>
        <v>2380</v>
      </c>
      <c r="Q28" s="203">
        <f t="shared" si="3"/>
        <v>100</v>
      </c>
    </row>
    <row r="29" spans="2:17" x14ac:dyDescent="0.2">
      <c r="B29" s="72">
        <f t="shared" si="4"/>
        <v>21</v>
      </c>
      <c r="C29" s="12"/>
      <c r="D29" s="12"/>
      <c r="E29" s="12"/>
      <c r="F29" s="82" t="s">
        <v>198</v>
      </c>
      <c r="G29" s="83">
        <v>716</v>
      </c>
      <c r="H29" s="83" t="s">
        <v>0</v>
      </c>
      <c r="I29" s="84"/>
      <c r="J29" s="84"/>
      <c r="K29" s="198"/>
      <c r="L29" s="84">
        <f>L30</f>
        <v>9660</v>
      </c>
      <c r="M29" s="84">
        <f>M30</f>
        <v>9660</v>
      </c>
      <c r="N29" s="198">
        <f>M29/L29*100</f>
        <v>100</v>
      </c>
      <c r="O29" s="84">
        <f t="shared" si="1"/>
        <v>9660</v>
      </c>
      <c r="P29" s="84">
        <f t="shared" si="2"/>
        <v>9660</v>
      </c>
      <c r="Q29" s="203">
        <f t="shared" si="3"/>
        <v>100</v>
      </c>
    </row>
    <row r="30" spans="2:17" x14ac:dyDescent="0.2">
      <c r="B30" s="72">
        <f t="shared" si="4"/>
        <v>22</v>
      </c>
      <c r="C30" s="12"/>
      <c r="D30" s="12"/>
      <c r="E30" s="12"/>
      <c r="F30" s="52"/>
      <c r="G30" s="12"/>
      <c r="H30" s="60" t="s">
        <v>504</v>
      </c>
      <c r="I30" s="58"/>
      <c r="J30" s="58"/>
      <c r="K30" s="198"/>
      <c r="L30" s="58">
        <v>9660</v>
      </c>
      <c r="M30" s="58">
        <v>9660</v>
      </c>
      <c r="N30" s="198">
        <f>M30/L30*100</f>
        <v>100</v>
      </c>
      <c r="O30" s="58">
        <f>I30+L30</f>
        <v>9660</v>
      </c>
      <c r="P30" s="58">
        <f>J30+M30</f>
        <v>9660</v>
      </c>
      <c r="Q30" s="203">
        <f t="shared" si="3"/>
        <v>100</v>
      </c>
    </row>
    <row r="31" spans="2:17" x14ac:dyDescent="0.2">
      <c r="B31" s="72">
        <f t="shared" si="4"/>
        <v>23</v>
      </c>
      <c r="C31" s="4"/>
      <c r="D31" s="4"/>
      <c r="E31" s="4"/>
      <c r="F31" s="82" t="s">
        <v>198</v>
      </c>
      <c r="G31" s="83">
        <v>717</v>
      </c>
      <c r="H31" s="83" t="s">
        <v>193</v>
      </c>
      <c r="I31" s="84">
        <v>0</v>
      </c>
      <c r="J31" s="84"/>
      <c r="K31" s="198"/>
      <c r="L31" s="84">
        <f>L32</f>
        <v>55000</v>
      </c>
      <c r="M31" s="84">
        <f>M32</f>
        <v>54830</v>
      </c>
      <c r="N31" s="198">
        <f>M31/L31*100</f>
        <v>99.690909090909088</v>
      </c>
      <c r="O31" s="84">
        <f t="shared" ref="O31:O49" si="5">L31+I31</f>
        <v>55000</v>
      </c>
      <c r="P31" s="84">
        <f t="shared" ref="P31:P49" si="6">M31+J31</f>
        <v>54830</v>
      </c>
      <c r="Q31" s="203">
        <f t="shared" si="3"/>
        <v>99.690909090909088</v>
      </c>
    </row>
    <row r="32" spans="2:17" x14ac:dyDescent="0.2">
      <c r="B32" s="72">
        <f t="shared" si="4"/>
        <v>24</v>
      </c>
      <c r="C32" s="75"/>
      <c r="D32" s="75"/>
      <c r="E32" s="75"/>
      <c r="F32" s="80"/>
      <c r="G32" s="81"/>
      <c r="H32" s="86" t="s">
        <v>488</v>
      </c>
      <c r="I32" s="62"/>
      <c r="J32" s="62"/>
      <c r="K32" s="198"/>
      <c r="L32" s="62">
        <v>55000</v>
      </c>
      <c r="M32" s="62">
        <f>31350+23480</f>
        <v>54830</v>
      </c>
      <c r="N32" s="198">
        <f>M32/L32*100</f>
        <v>99.690909090909088</v>
      </c>
      <c r="O32" s="62">
        <f t="shared" si="5"/>
        <v>55000</v>
      </c>
      <c r="P32" s="62">
        <f t="shared" si="6"/>
        <v>54830</v>
      </c>
      <c r="Q32" s="203">
        <f t="shared" si="3"/>
        <v>99.690909090909088</v>
      </c>
    </row>
    <row r="33" spans="2:17" ht="15" x14ac:dyDescent="0.25">
      <c r="B33" s="72">
        <f t="shared" si="4"/>
        <v>25</v>
      </c>
      <c r="C33" s="15"/>
      <c r="D33" s="15"/>
      <c r="E33" s="15">
        <v>4</v>
      </c>
      <c r="F33" s="50"/>
      <c r="G33" s="15"/>
      <c r="H33" s="15" t="s">
        <v>84</v>
      </c>
      <c r="I33" s="47">
        <f>I35+I39+I51+I70+I80+I89+I98+I110+I123+I138+I153+I166+I178+I185+I194+I207</f>
        <v>2642672</v>
      </c>
      <c r="J33" s="47">
        <f>J34+J39+J51+J70+J80+J89+J98+J110+J123+J138+J153+J166+J178+J185+J194+J207</f>
        <v>2615745</v>
      </c>
      <c r="K33" s="198">
        <f t="shared" ref="K33:K46" si="7">J33/I33*100</f>
        <v>98.981069160304429</v>
      </c>
      <c r="L33" s="47">
        <f>L35+L39+L51+L70+L80+L89+L98+L110+L123+L138+L153+L166+L178+L185+L194+L207</f>
        <v>666296</v>
      </c>
      <c r="M33" s="47">
        <f>M35+M39+M51+M70+M80+M89+M98+M110+M123+M138+M153+M166+M178+M185+M194+M207</f>
        <v>650868</v>
      </c>
      <c r="N33" s="198">
        <f>M33/L33*100</f>
        <v>97.684512588999482</v>
      </c>
      <c r="O33" s="47">
        <f t="shared" si="5"/>
        <v>3308968</v>
      </c>
      <c r="P33" s="47">
        <f t="shared" si="6"/>
        <v>3266613</v>
      </c>
      <c r="Q33" s="203">
        <f t="shared" si="3"/>
        <v>98.719993665698794</v>
      </c>
    </row>
    <row r="34" spans="2:17" x14ac:dyDescent="0.2">
      <c r="B34" s="72">
        <f t="shared" si="4"/>
        <v>26</v>
      </c>
      <c r="C34" s="11"/>
      <c r="D34" s="11"/>
      <c r="E34" s="11"/>
      <c r="F34" s="51"/>
      <c r="G34" s="11"/>
      <c r="H34" s="11"/>
      <c r="I34" s="48">
        <f>I35</f>
        <v>9833</v>
      </c>
      <c r="J34" s="48">
        <f>J35</f>
        <v>2208</v>
      </c>
      <c r="K34" s="198">
        <f t="shared" si="7"/>
        <v>22.454998474524558</v>
      </c>
      <c r="L34" s="48">
        <v>0</v>
      </c>
      <c r="M34" s="48"/>
      <c r="N34" s="198"/>
      <c r="O34" s="48">
        <f t="shared" si="5"/>
        <v>9833</v>
      </c>
      <c r="P34" s="48">
        <f t="shared" si="6"/>
        <v>2208</v>
      </c>
      <c r="Q34" s="203">
        <f t="shared" si="3"/>
        <v>22.454998474524558</v>
      </c>
    </row>
    <row r="35" spans="2:17" x14ac:dyDescent="0.2">
      <c r="B35" s="72">
        <f t="shared" si="4"/>
        <v>27</v>
      </c>
      <c r="C35" s="12"/>
      <c r="D35" s="12"/>
      <c r="E35" s="12"/>
      <c r="F35" s="52" t="s">
        <v>198</v>
      </c>
      <c r="G35" s="12">
        <v>630</v>
      </c>
      <c r="H35" s="12" t="s">
        <v>127</v>
      </c>
      <c r="I35" s="49">
        <f>I36+I37+I38</f>
        <v>9833</v>
      </c>
      <c r="J35" s="49">
        <f>J36+J37+J38</f>
        <v>2208</v>
      </c>
      <c r="K35" s="198">
        <f t="shared" si="7"/>
        <v>22.454998474524558</v>
      </c>
      <c r="L35" s="49">
        <f>L36</f>
        <v>0</v>
      </c>
      <c r="M35" s="49">
        <f>M36</f>
        <v>0</v>
      </c>
      <c r="N35" s="198"/>
      <c r="O35" s="49">
        <f t="shared" si="5"/>
        <v>9833</v>
      </c>
      <c r="P35" s="49">
        <f t="shared" si="6"/>
        <v>2208</v>
      </c>
      <c r="Q35" s="203">
        <f t="shared" si="3"/>
        <v>22.454998474524558</v>
      </c>
    </row>
    <row r="36" spans="2:17" x14ac:dyDescent="0.2">
      <c r="B36" s="72">
        <f t="shared" si="4"/>
        <v>28</v>
      </c>
      <c r="C36" s="4"/>
      <c r="D36" s="4"/>
      <c r="E36" s="4"/>
      <c r="F36" s="53" t="s">
        <v>198</v>
      </c>
      <c r="G36" s="4">
        <v>635</v>
      </c>
      <c r="H36" s="4" t="s">
        <v>137</v>
      </c>
      <c r="I36" s="23">
        <f>30000-1500-16552-4480</f>
        <v>7468</v>
      </c>
      <c r="J36" s="23"/>
      <c r="K36" s="198">
        <f t="shared" si="7"/>
        <v>0</v>
      </c>
      <c r="L36" s="23"/>
      <c r="M36" s="23"/>
      <c r="N36" s="198"/>
      <c r="O36" s="23">
        <f t="shared" si="5"/>
        <v>7468</v>
      </c>
      <c r="P36" s="23">
        <f t="shared" si="6"/>
        <v>0</v>
      </c>
      <c r="Q36" s="203">
        <f t="shared" si="3"/>
        <v>0</v>
      </c>
    </row>
    <row r="37" spans="2:17" x14ac:dyDescent="0.2">
      <c r="B37" s="72">
        <f t="shared" si="4"/>
        <v>29</v>
      </c>
      <c r="C37" s="4"/>
      <c r="D37" s="4"/>
      <c r="E37" s="4"/>
      <c r="F37" s="53" t="s">
        <v>198</v>
      </c>
      <c r="G37" s="4">
        <v>630</v>
      </c>
      <c r="H37" s="4" t="s">
        <v>596</v>
      </c>
      <c r="I37" s="23">
        <v>803</v>
      </c>
      <c r="J37" s="23">
        <v>803</v>
      </c>
      <c r="K37" s="198">
        <f t="shared" si="7"/>
        <v>100</v>
      </c>
      <c r="L37" s="23"/>
      <c r="M37" s="23"/>
      <c r="N37" s="198"/>
      <c r="O37" s="23">
        <f t="shared" si="5"/>
        <v>803</v>
      </c>
      <c r="P37" s="23">
        <f t="shared" si="6"/>
        <v>803</v>
      </c>
      <c r="Q37" s="203">
        <f t="shared" si="3"/>
        <v>100</v>
      </c>
    </row>
    <row r="38" spans="2:17" x14ac:dyDescent="0.2">
      <c r="B38" s="72">
        <f t="shared" si="4"/>
        <v>30</v>
      </c>
      <c r="C38" s="4"/>
      <c r="D38" s="4"/>
      <c r="E38" s="4"/>
      <c r="F38" s="53" t="s">
        <v>75</v>
      </c>
      <c r="G38" s="4">
        <v>630</v>
      </c>
      <c r="H38" s="4" t="s">
        <v>643</v>
      </c>
      <c r="I38" s="23">
        <f>485+976+101</f>
        <v>1562</v>
      </c>
      <c r="J38" s="23">
        <v>1405</v>
      </c>
      <c r="K38" s="198">
        <f t="shared" si="7"/>
        <v>89.948783610755441</v>
      </c>
      <c r="L38" s="23"/>
      <c r="M38" s="23"/>
      <c r="N38" s="198"/>
      <c r="O38" s="23">
        <f t="shared" si="5"/>
        <v>1562</v>
      </c>
      <c r="P38" s="23">
        <f t="shared" si="6"/>
        <v>1405</v>
      </c>
      <c r="Q38" s="203">
        <f t="shared" si="3"/>
        <v>89.948783610755441</v>
      </c>
    </row>
    <row r="39" spans="2:17" x14ac:dyDescent="0.2">
      <c r="B39" s="72">
        <f t="shared" si="4"/>
        <v>31</v>
      </c>
      <c r="C39" s="11"/>
      <c r="D39" s="11"/>
      <c r="E39" s="11" t="s">
        <v>94</v>
      </c>
      <c r="F39" s="51"/>
      <c r="G39" s="11"/>
      <c r="H39" s="11" t="s">
        <v>63</v>
      </c>
      <c r="I39" s="48">
        <f>I42+I41+I40</f>
        <v>125419</v>
      </c>
      <c r="J39" s="48">
        <f>J42+J41+J40</f>
        <v>124670</v>
      </c>
      <c r="K39" s="198">
        <f t="shared" si="7"/>
        <v>99.402801808338452</v>
      </c>
      <c r="L39" s="48">
        <f>L42+L41+L40+L47</f>
        <v>20650</v>
      </c>
      <c r="M39" s="48">
        <f>M42+M41+M40+M47</f>
        <v>20588</v>
      </c>
      <c r="N39" s="198">
        <f>M39/L39*100</f>
        <v>99.699757869249396</v>
      </c>
      <c r="O39" s="48">
        <f t="shared" si="5"/>
        <v>146069</v>
      </c>
      <c r="P39" s="48">
        <f t="shared" si="6"/>
        <v>145258</v>
      </c>
      <c r="Q39" s="203">
        <f t="shared" si="3"/>
        <v>99.444782945046512</v>
      </c>
    </row>
    <row r="40" spans="2:17" x14ac:dyDescent="0.2">
      <c r="B40" s="72">
        <f t="shared" si="4"/>
        <v>32</v>
      </c>
      <c r="C40" s="12"/>
      <c r="D40" s="12"/>
      <c r="E40" s="12"/>
      <c r="F40" s="52" t="s">
        <v>198</v>
      </c>
      <c r="G40" s="12">
        <v>610</v>
      </c>
      <c r="H40" s="12" t="s">
        <v>135</v>
      </c>
      <c r="I40" s="49">
        <f>71840+900+31</f>
        <v>72771</v>
      </c>
      <c r="J40" s="49">
        <v>72771</v>
      </c>
      <c r="K40" s="198">
        <f t="shared" si="7"/>
        <v>100</v>
      </c>
      <c r="L40" s="49"/>
      <c r="M40" s="49"/>
      <c r="N40" s="198"/>
      <c r="O40" s="49">
        <f t="shared" si="5"/>
        <v>72771</v>
      </c>
      <c r="P40" s="49">
        <f t="shared" si="6"/>
        <v>72771</v>
      </c>
      <c r="Q40" s="203">
        <f t="shared" si="3"/>
        <v>100</v>
      </c>
    </row>
    <row r="41" spans="2:17" x14ac:dyDescent="0.2">
      <c r="B41" s="72">
        <f t="shared" si="4"/>
        <v>33</v>
      </c>
      <c r="C41" s="12"/>
      <c r="D41" s="12"/>
      <c r="E41" s="12"/>
      <c r="F41" s="52" t="s">
        <v>198</v>
      </c>
      <c r="G41" s="12">
        <v>620</v>
      </c>
      <c r="H41" s="12" t="s">
        <v>130</v>
      </c>
      <c r="I41" s="49">
        <f>26670+300-31</f>
        <v>26939</v>
      </c>
      <c r="J41" s="49">
        <v>26939</v>
      </c>
      <c r="K41" s="198">
        <f t="shared" si="7"/>
        <v>100</v>
      </c>
      <c r="L41" s="49"/>
      <c r="M41" s="49"/>
      <c r="N41" s="198"/>
      <c r="O41" s="49">
        <f t="shared" si="5"/>
        <v>26939</v>
      </c>
      <c r="P41" s="49">
        <f t="shared" si="6"/>
        <v>26939</v>
      </c>
      <c r="Q41" s="203">
        <f t="shared" ref="Q41:Q72" si="8">P41/O41*100</f>
        <v>100</v>
      </c>
    </row>
    <row r="42" spans="2:17" x14ac:dyDescent="0.2">
      <c r="B42" s="72">
        <f t="shared" si="4"/>
        <v>34</v>
      </c>
      <c r="C42" s="12"/>
      <c r="D42" s="12"/>
      <c r="E42" s="12"/>
      <c r="F42" s="52" t="s">
        <v>198</v>
      </c>
      <c r="G42" s="12">
        <v>630</v>
      </c>
      <c r="H42" s="12" t="s">
        <v>127</v>
      </c>
      <c r="I42" s="49">
        <f>I46+I45+I44+I43</f>
        <v>25709</v>
      </c>
      <c r="J42" s="49">
        <f>J46+J45+J44+J43</f>
        <v>24960</v>
      </c>
      <c r="K42" s="198">
        <f t="shared" si="7"/>
        <v>97.086623361468753</v>
      </c>
      <c r="L42" s="49">
        <f>L46+L45+L44+L43</f>
        <v>0</v>
      </c>
      <c r="M42" s="49">
        <f>M46+M45+M44+M43</f>
        <v>0</v>
      </c>
      <c r="N42" s="198"/>
      <c r="O42" s="49">
        <f t="shared" si="5"/>
        <v>25709</v>
      </c>
      <c r="P42" s="49">
        <f t="shared" si="6"/>
        <v>24960</v>
      </c>
      <c r="Q42" s="203">
        <f t="shared" si="8"/>
        <v>97.086623361468753</v>
      </c>
    </row>
    <row r="43" spans="2:17" x14ac:dyDescent="0.2">
      <c r="B43" s="72">
        <f t="shared" si="4"/>
        <v>35</v>
      </c>
      <c r="C43" s="4"/>
      <c r="D43" s="4"/>
      <c r="E43" s="4"/>
      <c r="F43" s="53" t="s">
        <v>198</v>
      </c>
      <c r="G43" s="4">
        <v>632</v>
      </c>
      <c r="H43" s="4" t="s">
        <v>138</v>
      </c>
      <c r="I43" s="23">
        <f>14200+740</f>
        <v>14940</v>
      </c>
      <c r="J43" s="23">
        <v>14939</v>
      </c>
      <c r="K43" s="198">
        <f t="shared" si="7"/>
        <v>99.993306559571622</v>
      </c>
      <c r="L43" s="23"/>
      <c r="M43" s="23"/>
      <c r="N43" s="198"/>
      <c r="O43" s="23">
        <f t="shared" si="5"/>
        <v>14940</v>
      </c>
      <c r="P43" s="23">
        <f t="shared" si="6"/>
        <v>14939</v>
      </c>
      <c r="Q43" s="203">
        <f t="shared" si="8"/>
        <v>99.993306559571622</v>
      </c>
    </row>
    <row r="44" spans="2:17" x14ac:dyDescent="0.2">
      <c r="B44" s="72">
        <f t="shared" si="4"/>
        <v>36</v>
      </c>
      <c r="C44" s="4"/>
      <c r="D44" s="4"/>
      <c r="E44" s="4"/>
      <c r="F44" s="53" t="s">
        <v>198</v>
      </c>
      <c r="G44" s="4">
        <v>633</v>
      </c>
      <c r="H44" s="4" t="s">
        <v>131</v>
      </c>
      <c r="I44" s="23">
        <f>2540+3315+434-254</f>
        <v>6035</v>
      </c>
      <c r="J44" s="23">
        <v>5289</v>
      </c>
      <c r="K44" s="198">
        <f t="shared" si="7"/>
        <v>87.638773819386913</v>
      </c>
      <c r="L44" s="23"/>
      <c r="M44" s="23"/>
      <c r="N44" s="198"/>
      <c r="O44" s="23">
        <f t="shared" si="5"/>
        <v>6035</v>
      </c>
      <c r="P44" s="23">
        <f t="shared" si="6"/>
        <v>5289</v>
      </c>
      <c r="Q44" s="203">
        <f t="shared" si="8"/>
        <v>87.638773819386913</v>
      </c>
    </row>
    <row r="45" spans="2:17" x14ac:dyDescent="0.2">
      <c r="B45" s="72">
        <f t="shared" si="4"/>
        <v>37</v>
      </c>
      <c r="C45" s="4"/>
      <c r="D45" s="4"/>
      <c r="E45" s="4"/>
      <c r="F45" s="53" t="s">
        <v>198</v>
      </c>
      <c r="G45" s="4">
        <v>635</v>
      </c>
      <c r="H45" s="4" t="s">
        <v>137</v>
      </c>
      <c r="I45" s="23">
        <f>2000+254</f>
        <v>2254</v>
      </c>
      <c r="J45" s="23">
        <v>2254</v>
      </c>
      <c r="K45" s="198">
        <f t="shared" si="7"/>
        <v>100</v>
      </c>
      <c r="L45" s="23"/>
      <c r="M45" s="23"/>
      <c r="N45" s="198"/>
      <c r="O45" s="23">
        <f t="shared" si="5"/>
        <v>2254</v>
      </c>
      <c r="P45" s="23">
        <f t="shared" si="6"/>
        <v>2254</v>
      </c>
      <c r="Q45" s="203">
        <f t="shared" si="8"/>
        <v>100</v>
      </c>
    </row>
    <row r="46" spans="2:17" x14ac:dyDescent="0.2">
      <c r="B46" s="72">
        <f t="shared" si="4"/>
        <v>38</v>
      </c>
      <c r="C46" s="4"/>
      <c r="D46" s="4"/>
      <c r="E46" s="4"/>
      <c r="F46" s="53" t="s">
        <v>198</v>
      </c>
      <c r="G46" s="4">
        <v>637</v>
      </c>
      <c r="H46" s="4" t="s">
        <v>128</v>
      </c>
      <c r="I46" s="23">
        <v>2480</v>
      </c>
      <c r="J46" s="23">
        <v>2478</v>
      </c>
      <c r="K46" s="198">
        <f t="shared" si="7"/>
        <v>99.91935483870968</v>
      </c>
      <c r="L46" s="23"/>
      <c r="M46" s="23"/>
      <c r="N46" s="198"/>
      <c r="O46" s="23">
        <f t="shared" si="5"/>
        <v>2480</v>
      </c>
      <c r="P46" s="23">
        <f t="shared" si="6"/>
        <v>2478</v>
      </c>
      <c r="Q46" s="203">
        <f t="shared" si="8"/>
        <v>99.91935483870968</v>
      </c>
    </row>
    <row r="47" spans="2:17" x14ac:dyDescent="0.2">
      <c r="B47" s="72">
        <f t="shared" ref="B47:B110" si="9">B46+1</f>
        <v>39</v>
      </c>
      <c r="C47" s="4"/>
      <c r="D47" s="4"/>
      <c r="E47" s="4"/>
      <c r="F47" s="52" t="s">
        <v>198</v>
      </c>
      <c r="G47" s="12">
        <v>710</v>
      </c>
      <c r="H47" s="12" t="s">
        <v>183</v>
      </c>
      <c r="I47" s="49">
        <f>I48</f>
        <v>0</v>
      </c>
      <c r="J47" s="49">
        <f>J48</f>
        <v>0</v>
      </c>
      <c r="K47" s="198"/>
      <c r="L47" s="49">
        <f>L48</f>
        <v>20650</v>
      </c>
      <c r="M47" s="49">
        <f>M48</f>
        <v>20588</v>
      </c>
      <c r="N47" s="198">
        <f>M47/L47*100</f>
        <v>99.699757869249396</v>
      </c>
      <c r="O47" s="49">
        <f t="shared" si="5"/>
        <v>20650</v>
      </c>
      <c r="P47" s="49">
        <f t="shared" si="6"/>
        <v>20588</v>
      </c>
      <c r="Q47" s="203">
        <f t="shared" si="8"/>
        <v>99.699757869249396</v>
      </c>
    </row>
    <row r="48" spans="2:17" x14ac:dyDescent="0.2">
      <c r="B48" s="72">
        <f t="shared" si="9"/>
        <v>40</v>
      </c>
      <c r="C48" s="4"/>
      <c r="D48" s="4"/>
      <c r="E48" s="4"/>
      <c r="F48" s="82" t="s">
        <v>198</v>
      </c>
      <c r="G48" s="83">
        <v>717</v>
      </c>
      <c r="H48" s="83" t="s">
        <v>193</v>
      </c>
      <c r="I48" s="84"/>
      <c r="J48" s="84"/>
      <c r="K48" s="198"/>
      <c r="L48" s="84">
        <f>L49+L50</f>
        <v>20650</v>
      </c>
      <c r="M48" s="84">
        <f>M49+M50</f>
        <v>20588</v>
      </c>
      <c r="N48" s="198">
        <f>M48/L48*100</f>
        <v>99.699757869249396</v>
      </c>
      <c r="O48" s="84">
        <f t="shared" si="5"/>
        <v>20650</v>
      </c>
      <c r="P48" s="84">
        <f t="shared" si="6"/>
        <v>20588</v>
      </c>
      <c r="Q48" s="203">
        <f t="shared" si="8"/>
        <v>99.699757869249396</v>
      </c>
    </row>
    <row r="49" spans="2:17" x14ac:dyDescent="0.2">
      <c r="B49" s="72">
        <f t="shared" si="9"/>
        <v>41</v>
      </c>
      <c r="C49" s="4"/>
      <c r="D49" s="4"/>
      <c r="E49" s="4"/>
      <c r="F49" s="166" t="s">
        <v>198</v>
      </c>
      <c r="G49" s="128"/>
      <c r="H49" s="150" t="s">
        <v>688</v>
      </c>
      <c r="I49" s="129"/>
      <c r="J49" s="129"/>
      <c r="K49" s="198"/>
      <c r="L49" s="129">
        <f>4500-350</f>
        <v>4150</v>
      </c>
      <c r="M49" s="129">
        <v>4141</v>
      </c>
      <c r="N49" s="198">
        <f>M49/L49*100</f>
        <v>99.783132530120483</v>
      </c>
      <c r="O49" s="129">
        <f t="shared" si="5"/>
        <v>4150</v>
      </c>
      <c r="P49" s="129">
        <f t="shared" si="6"/>
        <v>4141</v>
      </c>
      <c r="Q49" s="203">
        <f t="shared" si="8"/>
        <v>99.783132530120483</v>
      </c>
    </row>
    <row r="50" spans="2:17" x14ac:dyDescent="0.2">
      <c r="B50" s="72">
        <f t="shared" si="9"/>
        <v>42</v>
      </c>
      <c r="C50" s="4"/>
      <c r="D50" s="4"/>
      <c r="E50" s="4"/>
      <c r="F50" s="170"/>
      <c r="G50" s="171"/>
      <c r="H50" s="59" t="s">
        <v>710</v>
      </c>
      <c r="I50" s="58"/>
      <c r="J50" s="58"/>
      <c r="K50" s="198"/>
      <c r="L50" s="58">
        <f>16000-500+1000</f>
        <v>16500</v>
      </c>
      <c r="M50" s="58">
        <v>16447</v>
      </c>
      <c r="N50" s="198">
        <f>M50/L50*100</f>
        <v>99.678787878787873</v>
      </c>
      <c r="O50" s="58">
        <f>L50</f>
        <v>16500</v>
      </c>
      <c r="P50" s="58">
        <f>M50</f>
        <v>16447</v>
      </c>
      <c r="Q50" s="203">
        <f t="shared" si="8"/>
        <v>99.678787878787873</v>
      </c>
    </row>
    <row r="51" spans="2:17" x14ac:dyDescent="0.2">
      <c r="B51" s="72">
        <f t="shared" si="9"/>
        <v>43</v>
      </c>
      <c r="C51" s="11"/>
      <c r="D51" s="11"/>
      <c r="E51" s="11" t="s">
        <v>93</v>
      </c>
      <c r="F51" s="51"/>
      <c r="G51" s="11"/>
      <c r="H51" s="11" t="s">
        <v>11</v>
      </c>
      <c r="I51" s="48">
        <f>I63+I56+I54+I52+I64+I53+I55</f>
        <v>215920</v>
      </c>
      <c r="J51" s="48">
        <f>J63+J56+J54+J52+J64+J53+J55</f>
        <v>215487</v>
      </c>
      <c r="K51" s="198">
        <f t="shared" ref="K51:K63" si="10">J51/I51*100</f>
        <v>99.799462763986654</v>
      </c>
      <c r="L51" s="48">
        <f>L63+L56+L54+L52+L64</f>
        <v>330326</v>
      </c>
      <c r="M51" s="48">
        <f>M63+M56+M54+M52+M64</f>
        <v>329494</v>
      </c>
      <c r="N51" s="198">
        <f>M51/L51*100</f>
        <v>99.748127607272821</v>
      </c>
      <c r="O51" s="48">
        <f t="shared" ref="O51:O64" si="11">L51+I51</f>
        <v>546246</v>
      </c>
      <c r="P51" s="48">
        <f t="shared" ref="P51:P64" si="12">M51+J51</f>
        <v>544981</v>
      </c>
      <c r="Q51" s="203">
        <f t="shared" si="8"/>
        <v>99.76841935684655</v>
      </c>
    </row>
    <row r="52" spans="2:17" x14ac:dyDescent="0.2">
      <c r="B52" s="72">
        <f t="shared" si="9"/>
        <v>44</v>
      </c>
      <c r="C52" s="12"/>
      <c r="D52" s="12"/>
      <c r="E52" s="12"/>
      <c r="F52" s="52" t="s">
        <v>198</v>
      </c>
      <c r="G52" s="12">
        <v>610</v>
      </c>
      <c r="H52" s="12" t="s">
        <v>135</v>
      </c>
      <c r="I52" s="49">
        <f>89880+2600+2800+397</f>
        <v>95677</v>
      </c>
      <c r="J52" s="49">
        <v>95677</v>
      </c>
      <c r="K52" s="198">
        <f t="shared" si="10"/>
        <v>100</v>
      </c>
      <c r="L52" s="49"/>
      <c r="M52" s="49"/>
      <c r="N52" s="198"/>
      <c r="O52" s="49">
        <f t="shared" si="11"/>
        <v>95677</v>
      </c>
      <c r="P52" s="49">
        <f t="shared" si="12"/>
        <v>95677</v>
      </c>
      <c r="Q52" s="203">
        <f t="shared" si="8"/>
        <v>100</v>
      </c>
    </row>
    <row r="53" spans="2:17" x14ac:dyDescent="0.2">
      <c r="B53" s="72">
        <f t="shared" si="9"/>
        <v>45</v>
      </c>
      <c r="C53" s="12"/>
      <c r="D53" s="12"/>
      <c r="E53" s="12"/>
      <c r="F53" s="52" t="s">
        <v>480</v>
      </c>
      <c r="G53" s="12">
        <v>610</v>
      </c>
      <c r="H53" s="12" t="s">
        <v>481</v>
      </c>
      <c r="I53" s="49">
        <f>16032</f>
        <v>16032</v>
      </c>
      <c r="J53" s="49">
        <v>16032</v>
      </c>
      <c r="K53" s="198">
        <f t="shared" si="10"/>
        <v>100</v>
      </c>
      <c r="L53" s="49"/>
      <c r="M53" s="49"/>
      <c r="N53" s="198"/>
      <c r="O53" s="49">
        <f t="shared" si="11"/>
        <v>16032</v>
      </c>
      <c r="P53" s="49">
        <f t="shared" si="12"/>
        <v>16032</v>
      </c>
      <c r="Q53" s="203">
        <f t="shared" si="8"/>
        <v>100</v>
      </c>
    </row>
    <row r="54" spans="2:17" x14ac:dyDescent="0.2">
      <c r="B54" s="72">
        <f t="shared" si="9"/>
        <v>46</v>
      </c>
      <c r="C54" s="12"/>
      <c r="D54" s="12"/>
      <c r="E54" s="12"/>
      <c r="F54" s="52" t="s">
        <v>198</v>
      </c>
      <c r="G54" s="12">
        <v>620</v>
      </c>
      <c r="H54" s="12" t="s">
        <v>130</v>
      </c>
      <c r="I54" s="49">
        <f>34481-319</f>
        <v>34162</v>
      </c>
      <c r="J54" s="49">
        <v>34162</v>
      </c>
      <c r="K54" s="198">
        <f t="shared" si="10"/>
        <v>100</v>
      </c>
      <c r="L54" s="49"/>
      <c r="M54" s="49"/>
      <c r="N54" s="198"/>
      <c r="O54" s="49">
        <f t="shared" si="11"/>
        <v>34162</v>
      </c>
      <c r="P54" s="49">
        <f t="shared" si="12"/>
        <v>34162</v>
      </c>
      <c r="Q54" s="203">
        <f t="shared" si="8"/>
        <v>100</v>
      </c>
    </row>
    <row r="55" spans="2:17" x14ac:dyDescent="0.2">
      <c r="B55" s="72">
        <f t="shared" si="9"/>
        <v>47</v>
      </c>
      <c r="C55" s="12"/>
      <c r="D55" s="12"/>
      <c r="E55" s="12"/>
      <c r="F55" s="52" t="s">
        <v>198</v>
      </c>
      <c r="G55" s="12">
        <v>620</v>
      </c>
      <c r="H55" s="12" t="s">
        <v>483</v>
      </c>
      <c r="I55" s="49">
        <v>5611</v>
      </c>
      <c r="J55" s="49">
        <v>5611</v>
      </c>
      <c r="K55" s="198">
        <f t="shared" si="10"/>
        <v>100</v>
      </c>
      <c r="L55" s="49"/>
      <c r="M55" s="49"/>
      <c r="N55" s="198"/>
      <c r="O55" s="49">
        <f t="shared" si="11"/>
        <v>5611</v>
      </c>
      <c r="P55" s="49">
        <f t="shared" si="12"/>
        <v>5611</v>
      </c>
      <c r="Q55" s="203">
        <f t="shared" si="8"/>
        <v>100</v>
      </c>
    </row>
    <row r="56" spans="2:17" x14ac:dyDescent="0.2">
      <c r="B56" s="72">
        <f t="shared" si="9"/>
        <v>48</v>
      </c>
      <c r="C56" s="12"/>
      <c r="D56" s="12"/>
      <c r="E56" s="12"/>
      <c r="F56" s="52" t="s">
        <v>198</v>
      </c>
      <c r="G56" s="12">
        <v>630</v>
      </c>
      <c r="H56" s="12" t="s">
        <v>127</v>
      </c>
      <c r="I56" s="49">
        <f>I61+I60+I58+I57+I59+I62</f>
        <v>64316</v>
      </c>
      <c r="J56" s="49">
        <f>J61+J60+J58+J57+J59+J62</f>
        <v>63883</v>
      </c>
      <c r="K56" s="198">
        <f t="shared" si="10"/>
        <v>99.326761614528266</v>
      </c>
      <c r="L56" s="49">
        <v>0</v>
      </c>
      <c r="M56" s="49"/>
      <c r="N56" s="198"/>
      <c r="O56" s="49">
        <f t="shared" si="11"/>
        <v>64316</v>
      </c>
      <c r="P56" s="49">
        <f t="shared" si="12"/>
        <v>63883</v>
      </c>
      <c r="Q56" s="203">
        <f t="shared" si="8"/>
        <v>99.326761614528266</v>
      </c>
    </row>
    <row r="57" spans="2:17" x14ac:dyDescent="0.2">
      <c r="B57" s="72">
        <f t="shared" si="9"/>
        <v>49</v>
      </c>
      <c r="C57" s="4"/>
      <c r="D57" s="4"/>
      <c r="E57" s="4"/>
      <c r="F57" s="53" t="s">
        <v>198</v>
      </c>
      <c r="G57" s="4">
        <v>632</v>
      </c>
      <c r="H57" s="4" t="s">
        <v>138</v>
      </c>
      <c r="I57" s="23">
        <f>22410-124</f>
        <v>22286</v>
      </c>
      <c r="J57" s="23">
        <v>22285</v>
      </c>
      <c r="K57" s="198">
        <f t="shared" si="10"/>
        <v>99.995512878040032</v>
      </c>
      <c r="L57" s="23"/>
      <c r="M57" s="23"/>
      <c r="N57" s="198"/>
      <c r="O57" s="23">
        <f t="shared" si="11"/>
        <v>22286</v>
      </c>
      <c r="P57" s="23">
        <f t="shared" si="12"/>
        <v>22285</v>
      </c>
      <c r="Q57" s="203">
        <f t="shared" si="8"/>
        <v>99.995512878040032</v>
      </c>
    </row>
    <row r="58" spans="2:17" x14ac:dyDescent="0.2">
      <c r="B58" s="72">
        <f t="shared" si="9"/>
        <v>50</v>
      </c>
      <c r="C58" s="4"/>
      <c r="D58" s="4"/>
      <c r="E58" s="4"/>
      <c r="F58" s="53" t="s">
        <v>198</v>
      </c>
      <c r="G58" s="4">
        <v>633</v>
      </c>
      <c r="H58" s="4" t="s">
        <v>131</v>
      </c>
      <c r="I58" s="23">
        <f>7288+1424+1301</f>
        <v>10013</v>
      </c>
      <c r="J58" s="23">
        <v>9581</v>
      </c>
      <c r="K58" s="198">
        <f t="shared" si="10"/>
        <v>95.685608708678714</v>
      </c>
      <c r="L58" s="23"/>
      <c r="M58" s="23"/>
      <c r="N58" s="198"/>
      <c r="O58" s="23">
        <f t="shared" si="11"/>
        <v>10013</v>
      </c>
      <c r="P58" s="23">
        <f t="shared" si="12"/>
        <v>9581</v>
      </c>
      <c r="Q58" s="203">
        <f t="shared" si="8"/>
        <v>95.685608708678714</v>
      </c>
    </row>
    <row r="59" spans="2:17" x14ac:dyDescent="0.2">
      <c r="B59" s="72">
        <f t="shared" si="9"/>
        <v>51</v>
      </c>
      <c r="C59" s="4"/>
      <c r="D59" s="4"/>
      <c r="E59" s="4"/>
      <c r="F59" s="53" t="s">
        <v>198</v>
      </c>
      <c r="G59" s="4">
        <v>633</v>
      </c>
      <c r="H59" s="4" t="s">
        <v>482</v>
      </c>
      <c r="I59" s="23">
        <f>43770-16032-5611-12000</f>
        <v>10127</v>
      </c>
      <c r="J59" s="23">
        <v>10127</v>
      </c>
      <c r="K59" s="198">
        <f t="shared" si="10"/>
        <v>100</v>
      </c>
      <c r="L59" s="23"/>
      <c r="M59" s="23"/>
      <c r="N59" s="198"/>
      <c r="O59" s="23">
        <f t="shared" si="11"/>
        <v>10127</v>
      </c>
      <c r="P59" s="23">
        <f t="shared" si="12"/>
        <v>10127</v>
      </c>
      <c r="Q59" s="203">
        <f t="shared" si="8"/>
        <v>100</v>
      </c>
    </row>
    <row r="60" spans="2:17" x14ac:dyDescent="0.2">
      <c r="B60" s="72">
        <f t="shared" si="9"/>
        <v>52</v>
      </c>
      <c r="C60" s="4"/>
      <c r="D60" s="4"/>
      <c r="E60" s="4"/>
      <c r="F60" s="53" t="s">
        <v>198</v>
      </c>
      <c r="G60" s="4">
        <v>635</v>
      </c>
      <c r="H60" s="4" t="s">
        <v>137</v>
      </c>
      <c r="I60" s="23">
        <f>2000+356+3980+112</f>
        <v>6448</v>
      </c>
      <c r="J60" s="23">
        <v>6448</v>
      </c>
      <c r="K60" s="198">
        <f t="shared" si="10"/>
        <v>100</v>
      </c>
      <c r="L60" s="23"/>
      <c r="M60" s="23"/>
      <c r="N60" s="198"/>
      <c r="O60" s="23">
        <f t="shared" si="11"/>
        <v>6448</v>
      </c>
      <c r="P60" s="23">
        <f t="shared" si="12"/>
        <v>6448</v>
      </c>
      <c r="Q60" s="203">
        <f t="shared" si="8"/>
        <v>100</v>
      </c>
    </row>
    <row r="61" spans="2:17" x14ac:dyDescent="0.2">
      <c r="B61" s="72">
        <f t="shared" si="9"/>
        <v>53</v>
      </c>
      <c r="C61" s="4"/>
      <c r="D61" s="4"/>
      <c r="E61" s="4"/>
      <c r="F61" s="53" t="s">
        <v>198</v>
      </c>
      <c r="G61" s="4">
        <v>637</v>
      </c>
      <c r="H61" s="4" t="s">
        <v>128</v>
      </c>
      <c r="I61" s="23">
        <f>3430+12</f>
        <v>3442</v>
      </c>
      <c r="J61" s="23">
        <v>3442</v>
      </c>
      <c r="K61" s="198">
        <f t="shared" si="10"/>
        <v>100</v>
      </c>
      <c r="L61" s="23"/>
      <c r="M61" s="23"/>
      <c r="N61" s="198"/>
      <c r="O61" s="23">
        <f t="shared" si="11"/>
        <v>3442</v>
      </c>
      <c r="P61" s="23">
        <f t="shared" si="12"/>
        <v>3442</v>
      </c>
      <c r="Q61" s="203">
        <f t="shared" si="8"/>
        <v>100</v>
      </c>
    </row>
    <row r="62" spans="2:17" x14ac:dyDescent="0.2">
      <c r="B62" s="72">
        <f t="shared" si="9"/>
        <v>54</v>
      </c>
      <c r="C62" s="4"/>
      <c r="D62" s="4"/>
      <c r="E62" s="4"/>
      <c r="F62" s="53" t="s">
        <v>198</v>
      </c>
      <c r="G62" s="4">
        <v>630</v>
      </c>
      <c r="H62" s="4" t="s">
        <v>597</v>
      </c>
      <c r="I62" s="23">
        <v>12000</v>
      </c>
      <c r="J62" s="23">
        <v>12000</v>
      </c>
      <c r="K62" s="198">
        <f t="shared" si="10"/>
        <v>100</v>
      </c>
      <c r="L62" s="23"/>
      <c r="M62" s="23"/>
      <c r="N62" s="198"/>
      <c r="O62" s="23">
        <f t="shared" si="11"/>
        <v>12000</v>
      </c>
      <c r="P62" s="23">
        <f t="shared" si="12"/>
        <v>12000</v>
      </c>
      <c r="Q62" s="203">
        <f t="shared" si="8"/>
        <v>100</v>
      </c>
    </row>
    <row r="63" spans="2:17" x14ac:dyDescent="0.2">
      <c r="B63" s="72">
        <f t="shared" si="9"/>
        <v>55</v>
      </c>
      <c r="C63" s="12"/>
      <c r="D63" s="12"/>
      <c r="E63" s="12"/>
      <c r="F63" s="52" t="s">
        <v>198</v>
      </c>
      <c r="G63" s="12">
        <v>640</v>
      </c>
      <c r="H63" s="12" t="s">
        <v>134</v>
      </c>
      <c r="I63" s="49">
        <f>3000-2800-78</f>
        <v>122</v>
      </c>
      <c r="J63" s="49">
        <v>122</v>
      </c>
      <c r="K63" s="198">
        <f t="shared" si="10"/>
        <v>100</v>
      </c>
      <c r="L63" s="49"/>
      <c r="M63" s="49"/>
      <c r="N63" s="198"/>
      <c r="O63" s="49">
        <f t="shared" si="11"/>
        <v>122</v>
      </c>
      <c r="P63" s="49">
        <f t="shared" si="12"/>
        <v>122</v>
      </c>
      <c r="Q63" s="203">
        <f t="shared" si="8"/>
        <v>100</v>
      </c>
    </row>
    <row r="64" spans="2:17" x14ac:dyDescent="0.2">
      <c r="B64" s="72">
        <f t="shared" si="9"/>
        <v>56</v>
      </c>
      <c r="C64" s="12"/>
      <c r="D64" s="12"/>
      <c r="E64" s="12"/>
      <c r="F64" s="52" t="s">
        <v>198</v>
      </c>
      <c r="G64" s="12">
        <v>710</v>
      </c>
      <c r="H64" s="12" t="s">
        <v>183</v>
      </c>
      <c r="I64" s="49">
        <f>I67</f>
        <v>0</v>
      </c>
      <c r="J64" s="49">
        <f>J67</f>
        <v>0</v>
      </c>
      <c r="K64" s="198"/>
      <c r="L64" s="49">
        <f>L67+L65</f>
        <v>330326</v>
      </c>
      <c r="M64" s="49">
        <f>M67+M65</f>
        <v>329494</v>
      </c>
      <c r="N64" s="198">
        <f t="shared" ref="N64:N69" si="13">M64/L64*100</f>
        <v>99.748127607272821</v>
      </c>
      <c r="O64" s="49">
        <f t="shared" si="11"/>
        <v>330326</v>
      </c>
      <c r="P64" s="49">
        <f t="shared" si="12"/>
        <v>329494</v>
      </c>
      <c r="Q64" s="203">
        <f t="shared" si="8"/>
        <v>99.748127607272821</v>
      </c>
    </row>
    <row r="65" spans="2:17" x14ac:dyDescent="0.2">
      <c r="B65" s="72">
        <f t="shared" si="9"/>
        <v>57</v>
      </c>
      <c r="C65" s="12"/>
      <c r="D65" s="12"/>
      <c r="E65" s="12"/>
      <c r="F65" s="82" t="s">
        <v>198</v>
      </c>
      <c r="G65" s="83">
        <v>716</v>
      </c>
      <c r="H65" s="83" t="s">
        <v>0</v>
      </c>
      <c r="I65" s="84"/>
      <c r="J65" s="84"/>
      <c r="K65" s="198"/>
      <c r="L65" s="84">
        <f>L66</f>
        <v>10800</v>
      </c>
      <c r="M65" s="84">
        <f>M66</f>
        <v>10800</v>
      </c>
      <c r="N65" s="198">
        <f t="shared" si="13"/>
        <v>100</v>
      </c>
      <c r="O65" s="84">
        <f>I65+L65</f>
        <v>10800</v>
      </c>
      <c r="P65" s="84">
        <f>J65+M65</f>
        <v>10800</v>
      </c>
      <c r="Q65" s="203">
        <f t="shared" si="8"/>
        <v>100</v>
      </c>
    </row>
    <row r="66" spans="2:17" x14ac:dyDescent="0.2">
      <c r="B66" s="72">
        <f t="shared" si="9"/>
        <v>58</v>
      </c>
      <c r="C66" s="12"/>
      <c r="D66" s="12"/>
      <c r="E66" s="12"/>
      <c r="F66" s="52"/>
      <c r="G66" s="12"/>
      <c r="H66" s="60" t="s">
        <v>497</v>
      </c>
      <c r="I66" s="49"/>
      <c r="J66" s="49"/>
      <c r="K66" s="198"/>
      <c r="L66" s="58">
        <v>10800</v>
      </c>
      <c r="M66" s="58">
        <v>10800</v>
      </c>
      <c r="N66" s="198">
        <f t="shared" si="13"/>
        <v>100</v>
      </c>
      <c r="O66" s="58">
        <f>I66+L66</f>
        <v>10800</v>
      </c>
      <c r="P66" s="58">
        <f>J66+M66</f>
        <v>10800</v>
      </c>
      <c r="Q66" s="203">
        <f t="shared" si="8"/>
        <v>100</v>
      </c>
    </row>
    <row r="67" spans="2:17" x14ac:dyDescent="0.2">
      <c r="B67" s="72">
        <f t="shared" si="9"/>
        <v>59</v>
      </c>
      <c r="C67" s="12"/>
      <c r="D67" s="12"/>
      <c r="E67" s="12"/>
      <c r="F67" s="82" t="s">
        <v>198</v>
      </c>
      <c r="G67" s="83">
        <v>717</v>
      </c>
      <c r="H67" s="83" t="s">
        <v>193</v>
      </c>
      <c r="I67" s="84"/>
      <c r="J67" s="84"/>
      <c r="K67" s="198"/>
      <c r="L67" s="84">
        <f>SUM(L68:L69)</f>
        <v>319526</v>
      </c>
      <c r="M67" s="84">
        <f>SUM(M68:M69)</f>
        <v>318694</v>
      </c>
      <c r="N67" s="198">
        <f t="shared" si="13"/>
        <v>99.739614303687347</v>
      </c>
      <c r="O67" s="84">
        <f t="shared" ref="O67:O98" si="14">L67+I67</f>
        <v>319526</v>
      </c>
      <c r="P67" s="84">
        <f t="shared" ref="P67:P98" si="15">M67+J67</f>
        <v>318694</v>
      </c>
      <c r="Q67" s="203">
        <f t="shared" si="8"/>
        <v>99.739614303687347</v>
      </c>
    </row>
    <row r="68" spans="2:17" x14ac:dyDescent="0.2">
      <c r="B68" s="72">
        <f t="shared" si="9"/>
        <v>60</v>
      </c>
      <c r="C68" s="12"/>
      <c r="D68" s="12"/>
      <c r="E68" s="12"/>
      <c r="F68" s="64"/>
      <c r="G68" s="60"/>
      <c r="H68" s="60" t="s">
        <v>426</v>
      </c>
      <c r="I68" s="58"/>
      <c r="J68" s="58"/>
      <c r="K68" s="198"/>
      <c r="L68" s="58">
        <f>162976-21000-10050-1800-2000+17000-5600</f>
        <v>139526</v>
      </c>
      <c r="M68" s="58">
        <f>1975+136719</f>
        <v>138694</v>
      </c>
      <c r="N68" s="198">
        <f t="shared" si="13"/>
        <v>99.403695368605142</v>
      </c>
      <c r="O68" s="58">
        <f t="shared" si="14"/>
        <v>139526</v>
      </c>
      <c r="P68" s="58">
        <f t="shared" si="15"/>
        <v>138694</v>
      </c>
      <c r="Q68" s="203">
        <f t="shared" si="8"/>
        <v>99.403695368605142</v>
      </c>
    </row>
    <row r="69" spans="2:17" x14ac:dyDescent="0.2">
      <c r="B69" s="72">
        <f t="shared" si="9"/>
        <v>61</v>
      </c>
      <c r="C69" s="12"/>
      <c r="D69" s="12"/>
      <c r="E69" s="12"/>
      <c r="F69" s="64"/>
      <c r="G69" s="60"/>
      <c r="H69" s="60" t="s">
        <v>597</v>
      </c>
      <c r="I69" s="58"/>
      <c r="J69" s="58"/>
      <c r="K69" s="198"/>
      <c r="L69" s="58">
        <v>180000</v>
      </c>
      <c r="M69" s="58">
        <v>180000</v>
      </c>
      <c r="N69" s="198">
        <f t="shared" si="13"/>
        <v>100</v>
      </c>
      <c r="O69" s="58">
        <f t="shared" si="14"/>
        <v>180000</v>
      </c>
      <c r="P69" s="58">
        <f t="shared" si="15"/>
        <v>180000</v>
      </c>
      <c r="Q69" s="203">
        <f t="shared" si="8"/>
        <v>100</v>
      </c>
    </row>
    <row r="70" spans="2:17" x14ac:dyDescent="0.2">
      <c r="B70" s="72">
        <f t="shared" si="9"/>
        <v>62</v>
      </c>
      <c r="C70" s="11"/>
      <c r="D70" s="11"/>
      <c r="E70" s="11" t="s">
        <v>87</v>
      </c>
      <c r="F70" s="51"/>
      <c r="G70" s="11"/>
      <c r="H70" s="11" t="s">
        <v>62</v>
      </c>
      <c r="I70" s="48">
        <f>I73+I72+I71+I79</f>
        <v>133594</v>
      </c>
      <c r="J70" s="48">
        <f>J73+J72+J71+J79</f>
        <v>132953</v>
      </c>
      <c r="K70" s="198">
        <f t="shared" ref="K70:K106" si="16">J70/I70*100</f>
        <v>99.520188032396661</v>
      </c>
      <c r="L70" s="48">
        <f>L73+L72+L71</f>
        <v>0</v>
      </c>
      <c r="M70" s="48">
        <f>M73+M72+M71</f>
        <v>0</v>
      </c>
      <c r="N70" s="198"/>
      <c r="O70" s="48">
        <f t="shared" si="14"/>
        <v>133594</v>
      </c>
      <c r="P70" s="48">
        <f t="shared" si="15"/>
        <v>132953</v>
      </c>
      <c r="Q70" s="203">
        <f t="shared" si="8"/>
        <v>99.520188032396661</v>
      </c>
    </row>
    <row r="71" spans="2:17" x14ac:dyDescent="0.2">
      <c r="B71" s="72">
        <f t="shared" si="9"/>
        <v>63</v>
      </c>
      <c r="C71" s="12"/>
      <c r="D71" s="12"/>
      <c r="E71" s="12"/>
      <c r="F71" s="52" t="s">
        <v>198</v>
      </c>
      <c r="G71" s="12">
        <v>610</v>
      </c>
      <c r="H71" s="12" t="s">
        <v>135</v>
      </c>
      <c r="I71" s="49">
        <f>74290+153</f>
        <v>74443</v>
      </c>
      <c r="J71" s="49">
        <v>74443</v>
      </c>
      <c r="K71" s="198">
        <f t="shared" si="16"/>
        <v>100</v>
      </c>
      <c r="L71" s="49"/>
      <c r="M71" s="49"/>
      <c r="N71" s="198"/>
      <c r="O71" s="49">
        <f t="shared" si="14"/>
        <v>74443</v>
      </c>
      <c r="P71" s="49">
        <f t="shared" si="15"/>
        <v>74443</v>
      </c>
      <c r="Q71" s="203">
        <f t="shared" si="8"/>
        <v>100</v>
      </c>
    </row>
    <row r="72" spans="2:17" x14ac:dyDescent="0.2">
      <c r="B72" s="72">
        <f t="shared" si="9"/>
        <v>64</v>
      </c>
      <c r="C72" s="12"/>
      <c r="D72" s="12"/>
      <c r="E72" s="12"/>
      <c r="F72" s="52" t="s">
        <v>198</v>
      </c>
      <c r="G72" s="12">
        <v>620</v>
      </c>
      <c r="H72" s="12" t="s">
        <v>130</v>
      </c>
      <c r="I72" s="49">
        <f>27587-153</f>
        <v>27434</v>
      </c>
      <c r="J72" s="49">
        <v>27434</v>
      </c>
      <c r="K72" s="198">
        <f t="shared" si="16"/>
        <v>100</v>
      </c>
      <c r="L72" s="49"/>
      <c r="M72" s="49"/>
      <c r="N72" s="198"/>
      <c r="O72" s="49">
        <f t="shared" si="14"/>
        <v>27434</v>
      </c>
      <c r="P72" s="49">
        <f t="shared" si="15"/>
        <v>27434</v>
      </c>
      <c r="Q72" s="203">
        <f t="shared" si="8"/>
        <v>100</v>
      </c>
    </row>
    <row r="73" spans="2:17" x14ac:dyDescent="0.2">
      <c r="B73" s="72">
        <f t="shared" si="9"/>
        <v>65</v>
      </c>
      <c r="C73" s="12"/>
      <c r="D73" s="12"/>
      <c r="E73" s="12"/>
      <c r="F73" s="52" t="s">
        <v>198</v>
      </c>
      <c r="G73" s="12">
        <v>630</v>
      </c>
      <c r="H73" s="12" t="s">
        <v>127</v>
      </c>
      <c r="I73" s="49">
        <f>I77+I76+I75+I74+I78</f>
        <v>31692</v>
      </c>
      <c r="J73" s="49">
        <f>J77+J76+J75+J74+J78</f>
        <v>31051</v>
      </c>
      <c r="K73" s="198">
        <f t="shared" si="16"/>
        <v>97.977407547646095</v>
      </c>
      <c r="L73" s="49">
        <v>0</v>
      </c>
      <c r="M73" s="49">
        <v>0</v>
      </c>
      <c r="N73" s="198"/>
      <c r="O73" s="49">
        <f t="shared" si="14"/>
        <v>31692</v>
      </c>
      <c r="P73" s="49">
        <f t="shared" si="15"/>
        <v>31051</v>
      </c>
      <c r="Q73" s="203">
        <f t="shared" ref="Q73:Q104" si="17">P73/O73*100</f>
        <v>97.977407547646095</v>
      </c>
    </row>
    <row r="74" spans="2:17" x14ac:dyDescent="0.2">
      <c r="B74" s="72">
        <f t="shared" si="9"/>
        <v>66</v>
      </c>
      <c r="C74" s="4"/>
      <c r="D74" s="4"/>
      <c r="E74" s="4"/>
      <c r="F74" s="53" t="s">
        <v>198</v>
      </c>
      <c r="G74" s="4">
        <v>632</v>
      </c>
      <c r="H74" s="4" t="s">
        <v>138</v>
      </c>
      <c r="I74" s="23">
        <v>18530</v>
      </c>
      <c r="J74" s="23">
        <v>18530</v>
      </c>
      <c r="K74" s="198">
        <f t="shared" si="16"/>
        <v>100</v>
      </c>
      <c r="L74" s="23"/>
      <c r="M74" s="23"/>
      <c r="N74" s="198"/>
      <c r="O74" s="23">
        <f t="shared" si="14"/>
        <v>18530</v>
      </c>
      <c r="P74" s="23">
        <f t="shared" si="15"/>
        <v>18530</v>
      </c>
      <c r="Q74" s="203">
        <f t="shared" si="17"/>
        <v>100</v>
      </c>
    </row>
    <row r="75" spans="2:17" x14ac:dyDescent="0.2">
      <c r="B75" s="72">
        <f t="shared" si="9"/>
        <v>67</v>
      </c>
      <c r="C75" s="4"/>
      <c r="D75" s="4"/>
      <c r="E75" s="4"/>
      <c r="F75" s="53" t="s">
        <v>198</v>
      </c>
      <c r="G75" s="4">
        <v>633</v>
      </c>
      <c r="H75" s="4" t="s">
        <v>131</v>
      </c>
      <c r="I75" s="23">
        <f>5541+1152+162-866</f>
        <v>5989</v>
      </c>
      <c r="J75" s="23">
        <v>5714</v>
      </c>
      <c r="K75" s="198">
        <f t="shared" si="16"/>
        <v>95.408248455501749</v>
      </c>
      <c r="L75" s="23"/>
      <c r="M75" s="23"/>
      <c r="N75" s="198"/>
      <c r="O75" s="23">
        <f t="shared" si="14"/>
        <v>5989</v>
      </c>
      <c r="P75" s="23">
        <f t="shared" si="15"/>
        <v>5714</v>
      </c>
      <c r="Q75" s="203">
        <f t="shared" si="17"/>
        <v>95.408248455501749</v>
      </c>
    </row>
    <row r="76" spans="2:17" x14ac:dyDescent="0.2">
      <c r="B76" s="72">
        <f t="shared" si="9"/>
        <v>68</v>
      </c>
      <c r="C76" s="4"/>
      <c r="D76" s="4"/>
      <c r="E76" s="4"/>
      <c r="F76" s="53" t="s">
        <v>198</v>
      </c>
      <c r="G76" s="4">
        <v>635</v>
      </c>
      <c r="H76" s="4" t="s">
        <v>137</v>
      </c>
      <c r="I76" s="23">
        <f>150+227+866</f>
        <v>1243</v>
      </c>
      <c r="J76" s="23">
        <v>1243</v>
      </c>
      <c r="K76" s="198">
        <f t="shared" si="16"/>
        <v>100</v>
      </c>
      <c r="L76" s="23"/>
      <c r="M76" s="23"/>
      <c r="N76" s="198"/>
      <c r="O76" s="23">
        <f t="shared" si="14"/>
        <v>1243</v>
      </c>
      <c r="P76" s="23">
        <f t="shared" si="15"/>
        <v>1243</v>
      </c>
      <c r="Q76" s="203">
        <f t="shared" si="17"/>
        <v>100</v>
      </c>
    </row>
    <row r="77" spans="2:17" x14ac:dyDescent="0.2">
      <c r="B77" s="72">
        <f t="shared" si="9"/>
        <v>69</v>
      </c>
      <c r="C77" s="4"/>
      <c r="D77" s="4"/>
      <c r="E77" s="4"/>
      <c r="F77" s="53" t="s">
        <v>198</v>
      </c>
      <c r="G77" s="4">
        <v>637</v>
      </c>
      <c r="H77" s="4" t="s">
        <v>128</v>
      </c>
      <c r="I77" s="23">
        <v>2330</v>
      </c>
      <c r="J77" s="23">
        <v>1964</v>
      </c>
      <c r="K77" s="198">
        <f t="shared" si="16"/>
        <v>84.291845493562235</v>
      </c>
      <c r="L77" s="23"/>
      <c r="M77" s="23"/>
      <c r="N77" s="198"/>
      <c r="O77" s="23">
        <f t="shared" si="14"/>
        <v>2330</v>
      </c>
      <c r="P77" s="23">
        <f t="shared" si="15"/>
        <v>1964</v>
      </c>
      <c r="Q77" s="203">
        <f t="shared" si="17"/>
        <v>84.291845493562235</v>
      </c>
    </row>
    <row r="78" spans="2:17" x14ac:dyDescent="0.2">
      <c r="B78" s="72">
        <f t="shared" si="9"/>
        <v>70</v>
      </c>
      <c r="C78" s="4"/>
      <c r="D78" s="4"/>
      <c r="E78" s="4"/>
      <c r="F78" s="128">
        <v>9111</v>
      </c>
      <c r="G78" s="128">
        <v>633</v>
      </c>
      <c r="H78" s="150" t="s">
        <v>624</v>
      </c>
      <c r="I78" s="129">
        <f>3000+1600-1000</f>
        <v>3600</v>
      </c>
      <c r="J78" s="129">
        <v>3600</v>
      </c>
      <c r="K78" s="198">
        <f t="shared" si="16"/>
        <v>100</v>
      </c>
      <c r="L78" s="129">
        <v>0</v>
      </c>
      <c r="M78" s="129">
        <v>0</v>
      </c>
      <c r="N78" s="198"/>
      <c r="O78" s="129">
        <f t="shared" si="14"/>
        <v>3600</v>
      </c>
      <c r="P78" s="129">
        <f t="shared" si="15"/>
        <v>3600</v>
      </c>
      <c r="Q78" s="203">
        <f t="shared" si="17"/>
        <v>100</v>
      </c>
    </row>
    <row r="79" spans="2:17" x14ac:dyDescent="0.2">
      <c r="B79" s="72">
        <f t="shared" si="9"/>
        <v>71</v>
      </c>
      <c r="C79" s="4"/>
      <c r="D79" s="4"/>
      <c r="E79" s="4"/>
      <c r="F79" s="52" t="s">
        <v>198</v>
      </c>
      <c r="G79" s="12">
        <v>640</v>
      </c>
      <c r="H79" s="12" t="s">
        <v>134</v>
      </c>
      <c r="I79" s="49">
        <v>25</v>
      </c>
      <c r="J79" s="49">
        <v>25</v>
      </c>
      <c r="K79" s="198">
        <f t="shared" si="16"/>
        <v>100</v>
      </c>
      <c r="L79" s="49"/>
      <c r="M79" s="49"/>
      <c r="N79" s="198"/>
      <c r="O79" s="49">
        <f t="shared" si="14"/>
        <v>25</v>
      </c>
      <c r="P79" s="49">
        <f t="shared" si="15"/>
        <v>25</v>
      </c>
      <c r="Q79" s="203">
        <f t="shared" si="17"/>
        <v>100</v>
      </c>
    </row>
    <row r="80" spans="2:17" x14ac:dyDescent="0.2">
      <c r="B80" s="72">
        <f t="shared" si="9"/>
        <v>72</v>
      </c>
      <c r="C80" s="11"/>
      <c r="D80" s="11"/>
      <c r="E80" s="11" t="s">
        <v>97</v>
      </c>
      <c r="F80" s="51"/>
      <c r="G80" s="11"/>
      <c r="H80" s="11" t="s">
        <v>98</v>
      </c>
      <c r="I80" s="48">
        <f>I88+I83+I82+I81</f>
        <v>168462</v>
      </c>
      <c r="J80" s="48">
        <f>J88+J83+J82+J81</f>
        <v>168462</v>
      </c>
      <c r="K80" s="198">
        <f t="shared" si="16"/>
        <v>100</v>
      </c>
      <c r="L80" s="48">
        <f>L88+L83+L82+L81</f>
        <v>0</v>
      </c>
      <c r="M80" s="48">
        <f>M88+M83+M82+M81</f>
        <v>0</v>
      </c>
      <c r="N80" s="198"/>
      <c r="O80" s="48">
        <f t="shared" si="14"/>
        <v>168462</v>
      </c>
      <c r="P80" s="48">
        <f t="shared" si="15"/>
        <v>168462</v>
      </c>
      <c r="Q80" s="203">
        <f t="shared" si="17"/>
        <v>100</v>
      </c>
    </row>
    <row r="81" spans="2:17" x14ac:dyDescent="0.2">
      <c r="B81" s="72">
        <f t="shared" si="9"/>
        <v>73</v>
      </c>
      <c r="C81" s="12"/>
      <c r="D81" s="12"/>
      <c r="E81" s="12"/>
      <c r="F81" s="52" t="s">
        <v>198</v>
      </c>
      <c r="G81" s="12">
        <v>610</v>
      </c>
      <c r="H81" s="12" t="s">
        <v>135</v>
      </c>
      <c r="I81" s="49">
        <f>89455+301</f>
        <v>89756</v>
      </c>
      <c r="J81" s="49">
        <v>89756</v>
      </c>
      <c r="K81" s="198">
        <f t="shared" si="16"/>
        <v>100</v>
      </c>
      <c r="L81" s="49"/>
      <c r="M81" s="49"/>
      <c r="N81" s="198"/>
      <c r="O81" s="49">
        <f t="shared" si="14"/>
        <v>89756</v>
      </c>
      <c r="P81" s="49">
        <f t="shared" si="15"/>
        <v>89756</v>
      </c>
      <c r="Q81" s="203">
        <f t="shared" si="17"/>
        <v>100</v>
      </c>
    </row>
    <row r="82" spans="2:17" x14ac:dyDescent="0.2">
      <c r="B82" s="72">
        <f t="shared" si="9"/>
        <v>74</v>
      </c>
      <c r="C82" s="12"/>
      <c r="D82" s="12"/>
      <c r="E82" s="12"/>
      <c r="F82" s="52" t="s">
        <v>198</v>
      </c>
      <c r="G82" s="12">
        <v>620</v>
      </c>
      <c r="H82" s="12" t="s">
        <v>130</v>
      </c>
      <c r="I82" s="49">
        <f>33221-301</f>
        <v>32920</v>
      </c>
      <c r="J82" s="49">
        <v>32920</v>
      </c>
      <c r="K82" s="198">
        <f t="shared" si="16"/>
        <v>100</v>
      </c>
      <c r="L82" s="49"/>
      <c r="M82" s="49"/>
      <c r="N82" s="198"/>
      <c r="O82" s="49">
        <f t="shared" si="14"/>
        <v>32920</v>
      </c>
      <c r="P82" s="49">
        <f t="shared" si="15"/>
        <v>32920</v>
      </c>
      <c r="Q82" s="203">
        <f t="shared" si="17"/>
        <v>100</v>
      </c>
    </row>
    <row r="83" spans="2:17" x14ac:dyDescent="0.2">
      <c r="B83" s="72">
        <f t="shared" si="9"/>
        <v>75</v>
      </c>
      <c r="C83" s="12"/>
      <c r="D83" s="12"/>
      <c r="E83" s="12"/>
      <c r="F83" s="52" t="s">
        <v>198</v>
      </c>
      <c r="G83" s="12">
        <v>630</v>
      </c>
      <c r="H83" s="12" t="s">
        <v>127</v>
      </c>
      <c r="I83" s="49">
        <f>I87+I86+I85+I84</f>
        <v>44003</v>
      </c>
      <c r="J83" s="49">
        <f>J87+J86+J85+J84</f>
        <v>44003</v>
      </c>
      <c r="K83" s="198">
        <f t="shared" si="16"/>
        <v>100</v>
      </c>
      <c r="L83" s="49">
        <f>L87+L86+L85+L84</f>
        <v>0</v>
      </c>
      <c r="M83" s="49">
        <f>M87+M86+M85+M84</f>
        <v>0</v>
      </c>
      <c r="N83" s="198"/>
      <c r="O83" s="49">
        <f t="shared" si="14"/>
        <v>44003</v>
      </c>
      <c r="P83" s="49">
        <f t="shared" si="15"/>
        <v>44003</v>
      </c>
      <c r="Q83" s="203">
        <f t="shared" si="17"/>
        <v>100</v>
      </c>
    </row>
    <row r="84" spans="2:17" x14ac:dyDescent="0.2">
      <c r="B84" s="72">
        <f t="shared" si="9"/>
        <v>76</v>
      </c>
      <c r="C84" s="4"/>
      <c r="D84" s="4"/>
      <c r="E84" s="4"/>
      <c r="F84" s="53" t="s">
        <v>198</v>
      </c>
      <c r="G84" s="4">
        <v>632</v>
      </c>
      <c r="H84" s="4" t="s">
        <v>138</v>
      </c>
      <c r="I84" s="23">
        <f>37410-10784-563</f>
        <v>26063</v>
      </c>
      <c r="J84" s="23">
        <v>26063</v>
      </c>
      <c r="K84" s="198">
        <f t="shared" si="16"/>
        <v>100</v>
      </c>
      <c r="L84" s="23"/>
      <c r="M84" s="23"/>
      <c r="N84" s="198"/>
      <c r="O84" s="23">
        <f t="shared" si="14"/>
        <v>26063</v>
      </c>
      <c r="P84" s="23">
        <f t="shared" si="15"/>
        <v>26063</v>
      </c>
      <c r="Q84" s="203">
        <f t="shared" si="17"/>
        <v>100</v>
      </c>
    </row>
    <row r="85" spans="2:17" x14ac:dyDescent="0.2">
      <c r="B85" s="72">
        <f t="shared" si="9"/>
        <v>77</v>
      </c>
      <c r="C85" s="4"/>
      <c r="D85" s="4"/>
      <c r="E85" s="4"/>
      <c r="F85" s="53" t="s">
        <v>198</v>
      </c>
      <c r="G85" s="4">
        <v>633</v>
      </c>
      <c r="H85" s="4" t="s">
        <v>131</v>
      </c>
      <c r="I85" s="23">
        <f>5943+1520+1830-37</f>
        <v>9256</v>
      </c>
      <c r="J85" s="23">
        <v>9257</v>
      </c>
      <c r="K85" s="198">
        <f t="shared" si="16"/>
        <v>100.01080380293863</v>
      </c>
      <c r="L85" s="23"/>
      <c r="M85" s="23"/>
      <c r="N85" s="198"/>
      <c r="O85" s="23">
        <f t="shared" si="14"/>
        <v>9256</v>
      </c>
      <c r="P85" s="23">
        <f t="shared" si="15"/>
        <v>9257</v>
      </c>
      <c r="Q85" s="203">
        <f t="shared" si="17"/>
        <v>100.01080380293863</v>
      </c>
    </row>
    <row r="86" spans="2:17" x14ac:dyDescent="0.2">
      <c r="B86" s="72">
        <f t="shared" si="9"/>
        <v>78</v>
      </c>
      <c r="C86" s="4"/>
      <c r="D86" s="4"/>
      <c r="E86" s="4"/>
      <c r="F86" s="53" t="s">
        <v>198</v>
      </c>
      <c r="G86" s="4">
        <v>635</v>
      </c>
      <c r="H86" s="4" t="s">
        <v>137</v>
      </c>
      <c r="I86" s="23">
        <f>2450+2344+1662</f>
        <v>6456</v>
      </c>
      <c r="J86" s="23">
        <v>6456</v>
      </c>
      <c r="K86" s="198">
        <f t="shared" si="16"/>
        <v>100</v>
      </c>
      <c r="L86" s="23"/>
      <c r="M86" s="23"/>
      <c r="N86" s="198"/>
      <c r="O86" s="23">
        <f t="shared" si="14"/>
        <v>6456</v>
      </c>
      <c r="P86" s="23">
        <f t="shared" si="15"/>
        <v>6456</v>
      </c>
      <c r="Q86" s="203">
        <f t="shared" si="17"/>
        <v>100</v>
      </c>
    </row>
    <row r="87" spans="2:17" x14ac:dyDescent="0.2">
      <c r="B87" s="72">
        <f t="shared" si="9"/>
        <v>79</v>
      </c>
      <c r="C87" s="4"/>
      <c r="D87" s="4"/>
      <c r="E87" s="4"/>
      <c r="F87" s="53" t="s">
        <v>198</v>
      </c>
      <c r="G87" s="4">
        <v>637</v>
      </c>
      <c r="H87" s="4" t="s">
        <v>128</v>
      </c>
      <c r="I87" s="23">
        <f>3290-1062</f>
        <v>2228</v>
      </c>
      <c r="J87" s="23">
        <v>2227</v>
      </c>
      <c r="K87" s="198">
        <f t="shared" si="16"/>
        <v>99.95511669658886</v>
      </c>
      <c r="L87" s="23"/>
      <c r="M87" s="23"/>
      <c r="N87" s="198"/>
      <c r="O87" s="23">
        <f t="shared" si="14"/>
        <v>2228</v>
      </c>
      <c r="P87" s="23">
        <f t="shared" si="15"/>
        <v>2227</v>
      </c>
      <c r="Q87" s="203">
        <f t="shared" si="17"/>
        <v>99.95511669658886</v>
      </c>
    </row>
    <row r="88" spans="2:17" x14ac:dyDescent="0.2">
      <c r="B88" s="72">
        <f t="shared" si="9"/>
        <v>80</v>
      </c>
      <c r="C88" s="12"/>
      <c r="D88" s="12"/>
      <c r="E88" s="12"/>
      <c r="F88" s="52" t="s">
        <v>198</v>
      </c>
      <c r="G88" s="12">
        <v>640</v>
      </c>
      <c r="H88" s="12" t="s">
        <v>134</v>
      </c>
      <c r="I88" s="49">
        <f>1460+323</f>
        <v>1783</v>
      </c>
      <c r="J88" s="49">
        <v>1783</v>
      </c>
      <c r="K88" s="198">
        <f t="shared" si="16"/>
        <v>100</v>
      </c>
      <c r="L88" s="49"/>
      <c r="M88" s="49"/>
      <c r="N88" s="198"/>
      <c r="O88" s="49">
        <f t="shared" si="14"/>
        <v>1783</v>
      </c>
      <c r="P88" s="49">
        <f t="shared" si="15"/>
        <v>1783</v>
      </c>
      <c r="Q88" s="203">
        <f t="shared" si="17"/>
        <v>100</v>
      </c>
    </row>
    <row r="89" spans="2:17" x14ac:dyDescent="0.2">
      <c r="B89" s="72">
        <f t="shared" si="9"/>
        <v>81</v>
      </c>
      <c r="C89" s="11"/>
      <c r="D89" s="11"/>
      <c r="E89" s="11" t="s">
        <v>100</v>
      </c>
      <c r="F89" s="51"/>
      <c r="G89" s="11"/>
      <c r="H89" s="11" t="s">
        <v>101</v>
      </c>
      <c r="I89" s="48">
        <f>I97+I92+I91+I90</f>
        <v>169253</v>
      </c>
      <c r="J89" s="48">
        <f>J97+J92+J91+J90</f>
        <v>168944</v>
      </c>
      <c r="K89" s="198">
        <f t="shared" si="16"/>
        <v>99.81743307356443</v>
      </c>
      <c r="L89" s="48">
        <f>L97+L92+L91+L90</f>
        <v>0</v>
      </c>
      <c r="M89" s="48">
        <f>M97+M92+M91+M90</f>
        <v>0</v>
      </c>
      <c r="N89" s="198"/>
      <c r="O89" s="48">
        <f t="shared" si="14"/>
        <v>169253</v>
      </c>
      <c r="P89" s="48">
        <f t="shared" si="15"/>
        <v>168944</v>
      </c>
      <c r="Q89" s="203">
        <f t="shared" si="17"/>
        <v>99.81743307356443</v>
      </c>
    </row>
    <row r="90" spans="2:17" x14ac:dyDescent="0.2">
      <c r="B90" s="72">
        <f t="shared" si="9"/>
        <v>82</v>
      </c>
      <c r="C90" s="12"/>
      <c r="D90" s="12"/>
      <c r="E90" s="12"/>
      <c r="F90" s="52" t="s">
        <v>198</v>
      </c>
      <c r="G90" s="12">
        <v>610</v>
      </c>
      <c r="H90" s="12" t="s">
        <v>135</v>
      </c>
      <c r="I90" s="49">
        <f>90396+3000+700+172</f>
        <v>94268</v>
      </c>
      <c r="J90" s="49">
        <v>94268</v>
      </c>
      <c r="K90" s="198">
        <f t="shared" si="16"/>
        <v>100</v>
      </c>
      <c r="L90" s="49"/>
      <c r="M90" s="49"/>
      <c r="N90" s="198"/>
      <c r="O90" s="49">
        <f t="shared" si="14"/>
        <v>94268</v>
      </c>
      <c r="P90" s="49">
        <f t="shared" si="15"/>
        <v>94268</v>
      </c>
      <c r="Q90" s="203">
        <f t="shared" si="17"/>
        <v>100</v>
      </c>
    </row>
    <row r="91" spans="2:17" x14ac:dyDescent="0.2">
      <c r="B91" s="72">
        <f t="shared" si="9"/>
        <v>83</v>
      </c>
      <c r="C91" s="12"/>
      <c r="D91" s="12"/>
      <c r="E91" s="12"/>
      <c r="F91" s="52" t="s">
        <v>198</v>
      </c>
      <c r="G91" s="12">
        <v>620</v>
      </c>
      <c r="H91" s="12" t="s">
        <v>130</v>
      </c>
      <c r="I91" s="49">
        <f>34433-172</f>
        <v>34261</v>
      </c>
      <c r="J91" s="49">
        <v>34261</v>
      </c>
      <c r="K91" s="198">
        <f t="shared" si="16"/>
        <v>100</v>
      </c>
      <c r="L91" s="49"/>
      <c r="M91" s="49"/>
      <c r="N91" s="198"/>
      <c r="O91" s="49">
        <f t="shared" si="14"/>
        <v>34261</v>
      </c>
      <c r="P91" s="49">
        <f t="shared" si="15"/>
        <v>34261</v>
      </c>
      <c r="Q91" s="203">
        <f t="shared" si="17"/>
        <v>100</v>
      </c>
    </row>
    <row r="92" spans="2:17" x14ac:dyDescent="0.2">
      <c r="B92" s="72">
        <f t="shared" si="9"/>
        <v>84</v>
      </c>
      <c r="C92" s="12"/>
      <c r="D92" s="12"/>
      <c r="E92" s="12"/>
      <c r="F92" s="52" t="s">
        <v>198</v>
      </c>
      <c r="G92" s="12">
        <v>630</v>
      </c>
      <c r="H92" s="12" t="s">
        <v>127</v>
      </c>
      <c r="I92" s="49">
        <f>I96+I95+I94+I93</f>
        <v>39044</v>
      </c>
      <c r="J92" s="49">
        <f>J96+J95+J94+J93</f>
        <v>38761</v>
      </c>
      <c r="K92" s="198">
        <f t="shared" si="16"/>
        <v>99.275176723696347</v>
      </c>
      <c r="L92" s="49">
        <v>0</v>
      </c>
      <c r="M92" s="49"/>
      <c r="N92" s="198"/>
      <c r="O92" s="49">
        <f t="shared" si="14"/>
        <v>39044</v>
      </c>
      <c r="P92" s="49">
        <f t="shared" si="15"/>
        <v>38761</v>
      </c>
      <c r="Q92" s="203">
        <f t="shared" si="17"/>
        <v>99.275176723696347</v>
      </c>
    </row>
    <row r="93" spans="2:17" x14ac:dyDescent="0.2">
      <c r="B93" s="72">
        <f t="shared" si="9"/>
        <v>85</v>
      </c>
      <c r="C93" s="4"/>
      <c r="D93" s="4"/>
      <c r="E93" s="4"/>
      <c r="F93" s="53" t="s">
        <v>198</v>
      </c>
      <c r="G93" s="4">
        <v>632</v>
      </c>
      <c r="H93" s="4" t="s">
        <v>138</v>
      </c>
      <c r="I93" s="23">
        <f>26980-3600</f>
        <v>23380</v>
      </c>
      <c r="J93" s="23">
        <v>23381</v>
      </c>
      <c r="K93" s="198">
        <f t="shared" si="16"/>
        <v>100.00427715996578</v>
      </c>
      <c r="L93" s="23"/>
      <c r="M93" s="23"/>
      <c r="N93" s="198"/>
      <c r="O93" s="23">
        <f t="shared" si="14"/>
        <v>23380</v>
      </c>
      <c r="P93" s="23">
        <f t="shared" si="15"/>
        <v>23381</v>
      </c>
      <c r="Q93" s="203">
        <f t="shared" si="17"/>
        <v>100.00427715996578</v>
      </c>
    </row>
    <row r="94" spans="2:17" x14ac:dyDescent="0.2">
      <c r="B94" s="72">
        <f t="shared" si="9"/>
        <v>86</v>
      </c>
      <c r="C94" s="4"/>
      <c r="D94" s="4"/>
      <c r="E94" s="4"/>
      <c r="F94" s="53" t="s">
        <v>198</v>
      </c>
      <c r="G94" s="4">
        <v>633</v>
      </c>
      <c r="H94" s="4" t="s">
        <v>131</v>
      </c>
      <c r="I94" s="23">
        <f>7350+1424-54</f>
        <v>8720</v>
      </c>
      <c r="J94" s="23">
        <v>8513</v>
      </c>
      <c r="K94" s="198">
        <f t="shared" si="16"/>
        <v>97.626146788990837</v>
      </c>
      <c r="L94" s="23"/>
      <c r="M94" s="23"/>
      <c r="N94" s="198"/>
      <c r="O94" s="23">
        <f t="shared" si="14"/>
        <v>8720</v>
      </c>
      <c r="P94" s="23">
        <f t="shared" si="15"/>
        <v>8513</v>
      </c>
      <c r="Q94" s="203">
        <f t="shared" si="17"/>
        <v>97.626146788990837</v>
      </c>
    </row>
    <row r="95" spans="2:17" x14ac:dyDescent="0.2">
      <c r="B95" s="72">
        <f t="shared" si="9"/>
        <v>87</v>
      </c>
      <c r="C95" s="4"/>
      <c r="D95" s="4"/>
      <c r="E95" s="4"/>
      <c r="F95" s="53" t="s">
        <v>198</v>
      </c>
      <c r="G95" s="4">
        <v>635</v>
      </c>
      <c r="H95" s="4" t="s">
        <v>137</v>
      </c>
      <c r="I95" s="23">
        <f>1100+1500+1204+50</f>
        <v>3854</v>
      </c>
      <c r="J95" s="23">
        <v>3854</v>
      </c>
      <c r="K95" s="198">
        <f t="shared" si="16"/>
        <v>100</v>
      </c>
      <c r="L95" s="23"/>
      <c r="M95" s="23"/>
      <c r="N95" s="198"/>
      <c r="O95" s="23">
        <f t="shared" si="14"/>
        <v>3854</v>
      </c>
      <c r="P95" s="23">
        <f t="shared" si="15"/>
        <v>3854</v>
      </c>
      <c r="Q95" s="203">
        <f t="shared" si="17"/>
        <v>100</v>
      </c>
    </row>
    <row r="96" spans="2:17" x14ac:dyDescent="0.2">
      <c r="B96" s="72">
        <f t="shared" si="9"/>
        <v>88</v>
      </c>
      <c r="C96" s="4"/>
      <c r="D96" s="4"/>
      <c r="E96" s="4"/>
      <c r="F96" s="53" t="s">
        <v>198</v>
      </c>
      <c r="G96" s="4">
        <v>637</v>
      </c>
      <c r="H96" s="4" t="s">
        <v>128</v>
      </c>
      <c r="I96" s="23">
        <f>3140-50</f>
        <v>3090</v>
      </c>
      <c r="J96" s="23">
        <v>3013</v>
      </c>
      <c r="K96" s="198">
        <f t="shared" si="16"/>
        <v>97.50809061488674</v>
      </c>
      <c r="L96" s="23"/>
      <c r="M96" s="23"/>
      <c r="N96" s="198"/>
      <c r="O96" s="23">
        <f t="shared" si="14"/>
        <v>3090</v>
      </c>
      <c r="P96" s="23">
        <f t="shared" si="15"/>
        <v>3013</v>
      </c>
      <c r="Q96" s="203">
        <f t="shared" si="17"/>
        <v>97.50809061488674</v>
      </c>
    </row>
    <row r="97" spans="2:17" x14ac:dyDescent="0.2">
      <c r="B97" s="72">
        <f t="shared" si="9"/>
        <v>89</v>
      </c>
      <c r="C97" s="12"/>
      <c r="D97" s="12"/>
      <c r="E97" s="12"/>
      <c r="F97" s="52" t="s">
        <v>198</v>
      </c>
      <c r="G97" s="12">
        <v>640</v>
      </c>
      <c r="H97" s="12" t="s">
        <v>134</v>
      </c>
      <c r="I97" s="49">
        <f>2380-700</f>
        <v>1680</v>
      </c>
      <c r="J97" s="49">
        <v>1654</v>
      </c>
      <c r="K97" s="198">
        <f t="shared" si="16"/>
        <v>98.452380952380963</v>
      </c>
      <c r="L97" s="49"/>
      <c r="M97" s="49"/>
      <c r="N97" s="198"/>
      <c r="O97" s="49">
        <f t="shared" si="14"/>
        <v>1680</v>
      </c>
      <c r="P97" s="49">
        <f t="shared" si="15"/>
        <v>1654</v>
      </c>
      <c r="Q97" s="203">
        <f t="shared" si="17"/>
        <v>98.452380952380963</v>
      </c>
    </row>
    <row r="98" spans="2:17" x14ac:dyDescent="0.2">
      <c r="B98" s="72">
        <f t="shared" si="9"/>
        <v>90</v>
      </c>
      <c r="C98" s="11"/>
      <c r="D98" s="11"/>
      <c r="E98" s="11" t="s">
        <v>85</v>
      </c>
      <c r="F98" s="51"/>
      <c r="G98" s="11"/>
      <c r="H98" s="11" t="s">
        <v>86</v>
      </c>
      <c r="I98" s="48">
        <f>I107+I106+I101+I100+I99</f>
        <v>246252</v>
      </c>
      <c r="J98" s="48">
        <f>J107+J106+J101+J100+J99</f>
        <v>244753</v>
      </c>
      <c r="K98" s="198">
        <f t="shared" si="16"/>
        <v>99.391273979500667</v>
      </c>
      <c r="L98" s="48">
        <f>L107+L106+L101+L100+L99</f>
        <v>11000</v>
      </c>
      <c r="M98" s="48">
        <f>M107+M106+M101+M100+M99</f>
        <v>9977</v>
      </c>
      <c r="N98" s="198">
        <f>M98/L98*100</f>
        <v>90.7</v>
      </c>
      <c r="O98" s="48">
        <f t="shared" si="14"/>
        <v>257252</v>
      </c>
      <c r="P98" s="48">
        <f t="shared" si="15"/>
        <v>254730</v>
      </c>
      <c r="Q98" s="203">
        <f t="shared" si="17"/>
        <v>99.019638331286046</v>
      </c>
    </row>
    <row r="99" spans="2:17" x14ac:dyDescent="0.2">
      <c r="B99" s="72">
        <f t="shared" si="9"/>
        <v>91</v>
      </c>
      <c r="C99" s="12"/>
      <c r="D99" s="12"/>
      <c r="E99" s="12"/>
      <c r="F99" s="52" t="s">
        <v>198</v>
      </c>
      <c r="G99" s="12">
        <v>610</v>
      </c>
      <c r="H99" s="12" t="s">
        <v>135</v>
      </c>
      <c r="I99" s="49">
        <f>136506+1060+1079</f>
        <v>138645</v>
      </c>
      <c r="J99" s="49">
        <v>138645</v>
      </c>
      <c r="K99" s="198">
        <f t="shared" si="16"/>
        <v>100</v>
      </c>
      <c r="L99" s="49"/>
      <c r="M99" s="49"/>
      <c r="N99" s="198"/>
      <c r="O99" s="49">
        <f t="shared" ref="O99:O130" si="18">L99+I99</f>
        <v>138645</v>
      </c>
      <c r="P99" s="49">
        <f t="shared" ref="P99:P130" si="19">M99+J99</f>
        <v>138645</v>
      </c>
      <c r="Q99" s="203">
        <f t="shared" si="17"/>
        <v>100</v>
      </c>
    </row>
    <row r="100" spans="2:17" x14ac:dyDescent="0.2">
      <c r="B100" s="72">
        <f t="shared" si="9"/>
        <v>92</v>
      </c>
      <c r="C100" s="12"/>
      <c r="D100" s="12"/>
      <c r="E100" s="12"/>
      <c r="F100" s="52" t="s">
        <v>198</v>
      </c>
      <c r="G100" s="12">
        <v>620</v>
      </c>
      <c r="H100" s="12" t="s">
        <v>130</v>
      </c>
      <c r="I100" s="49">
        <f>51530-280-1079</f>
        <v>50171</v>
      </c>
      <c r="J100" s="49">
        <v>50172</v>
      </c>
      <c r="K100" s="198">
        <f t="shared" si="16"/>
        <v>100.00199318331306</v>
      </c>
      <c r="L100" s="49"/>
      <c r="M100" s="49"/>
      <c r="N100" s="198"/>
      <c r="O100" s="49">
        <f t="shared" si="18"/>
        <v>50171</v>
      </c>
      <c r="P100" s="49">
        <f t="shared" si="19"/>
        <v>50172</v>
      </c>
      <c r="Q100" s="203">
        <f t="shared" si="17"/>
        <v>100.00199318331306</v>
      </c>
    </row>
    <row r="101" spans="2:17" x14ac:dyDescent="0.2">
      <c r="B101" s="72">
        <f t="shared" si="9"/>
        <v>93</v>
      </c>
      <c r="C101" s="12"/>
      <c r="D101" s="12"/>
      <c r="E101" s="12"/>
      <c r="F101" s="52" t="s">
        <v>198</v>
      </c>
      <c r="G101" s="12">
        <v>630</v>
      </c>
      <c r="H101" s="12" t="s">
        <v>127</v>
      </c>
      <c r="I101" s="49">
        <f>I105+I104+I103+I102</f>
        <v>56984</v>
      </c>
      <c r="J101" s="49">
        <f>J105+J104+J103+J102</f>
        <v>55482</v>
      </c>
      <c r="K101" s="198">
        <f t="shared" si="16"/>
        <v>97.364172399269961</v>
      </c>
      <c r="L101" s="49">
        <f>L105+L104+L103+L102</f>
        <v>0</v>
      </c>
      <c r="M101" s="49">
        <f>M105+M104+M103+M102</f>
        <v>0</v>
      </c>
      <c r="N101" s="198"/>
      <c r="O101" s="49">
        <f t="shared" si="18"/>
        <v>56984</v>
      </c>
      <c r="P101" s="49">
        <f t="shared" si="19"/>
        <v>55482</v>
      </c>
      <c r="Q101" s="203">
        <f t="shared" si="17"/>
        <v>97.364172399269961</v>
      </c>
    </row>
    <row r="102" spans="2:17" x14ac:dyDescent="0.2">
      <c r="B102" s="72">
        <f t="shared" si="9"/>
        <v>94</v>
      </c>
      <c r="C102" s="4"/>
      <c r="D102" s="4"/>
      <c r="E102" s="4"/>
      <c r="F102" s="53" t="s">
        <v>198</v>
      </c>
      <c r="G102" s="4">
        <v>632</v>
      </c>
      <c r="H102" s="4" t="s">
        <v>138</v>
      </c>
      <c r="I102" s="23">
        <f>41760-3332</f>
        <v>38428</v>
      </c>
      <c r="J102" s="23">
        <v>38428</v>
      </c>
      <c r="K102" s="198">
        <f t="shared" si="16"/>
        <v>100</v>
      </c>
      <c r="L102" s="23"/>
      <c r="M102" s="23"/>
      <c r="N102" s="198"/>
      <c r="O102" s="23">
        <f t="shared" si="18"/>
        <v>38428</v>
      </c>
      <c r="P102" s="23">
        <f t="shared" si="19"/>
        <v>38428</v>
      </c>
      <c r="Q102" s="203">
        <f t="shared" si="17"/>
        <v>100</v>
      </c>
    </row>
    <row r="103" spans="2:17" x14ac:dyDescent="0.2">
      <c r="B103" s="72">
        <f t="shared" si="9"/>
        <v>95</v>
      </c>
      <c r="C103" s="4"/>
      <c r="D103" s="4"/>
      <c r="E103" s="4"/>
      <c r="F103" s="53" t="s">
        <v>198</v>
      </c>
      <c r="G103" s="4">
        <v>633</v>
      </c>
      <c r="H103" s="4" t="s">
        <v>131</v>
      </c>
      <c r="I103" s="23">
        <f>8582+2096+3032</f>
        <v>13710</v>
      </c>
      <c r="J103" s="23">
        <v>12581</v>
      </c>
      <c r="K103" s="198">
        <f t="shared" si="16"/>
        <v>91.765134938001452</v>
      </c>
      <c r="L103" s="23"/>
      <c r="M103" s="23"/>
      <c r="N103" s="198"/>
      <c r="O103" s="23">
        <f t="shared" si="18"/>
        <v>13710</v>
      </c>
      <c r="P103" s="23">
        <f t="shared" si="19"/>
        <v>12581</v>
      </c>
      <c r="Q103" s="203">
        <f t="shared" si="17"/>
        <v>91.765134938001452</v>
      </c>
    </row>
    <row r="104" spans="2:17" x14ac:dyDescent="0.2">
      <c r="B104" s="72">
        <f t="shared" si="9"/>
        <v>96</v>
      </c>
      <c r="C104" s="4"/>
      <c r="D104" s="4"/>
      <c r="E104" s="4"/>
      <c r="F104" s="53" t="s">
        <v>198</v>
      </c>
      <c r="G104" s="4">
        <v>635</v>
      </c>
      <c r="H104" s="4" t="s">
        <v>137</v>
      </c>
      <c r="I104" s="23">
        <f>2550-1804</f>
        <v>746</v>
      </c>
      <c r="J104" s="23">
        <v>541</v>
      </c>
      <c r="K104" s="198">
        <f t="shared" si="16"/>
        <v>72.520107238605902</v>
      </c>
      <c r="L104" s="23"/>
      <c r="M104" s="23"/>
      <c r="N104" s="198"/>
      <c r="O104" s="23">
        <f t="shared" si="18"/>
        <v>746</v>
      </c>
      <c r="P104" s="23">
        <f t="shared" si="19"/>
        <v>541</v>
      </c>
      <c r="Q104" s="203">
        <f t="shared" si="17"/>
        <v>72.520107238605902</v>
      </c>
    </row>
    <row r="105" spans="2:17" x14ac:dyDescent="0.2">
      <c r="B105" s="72">
        <f t="shared" si="9"/>
        <v>97</v>
      </c>
      <c r="C105" s="4"/>
      <c r="D105" s="4"/>
      <c r="E105" s="4"/>
      <c r="F105" s="53" t="s">
        <v>198</v>
      </c>
      <c r="G105" s="4">
        <v>637</v>
      </c>
      <c r="H105" s="4" t="s">
        <v>128</v>
      </c>
      <c r="I105" s="23">
        <v>4100</v>
      </c>
      <c r="J105" s="23">
        <v>3932</v>
      </c>
      <c r="K105" s="198">
        <f t="shared" si="16"/>
        <v>95.902439024390247</v>
      </c>
      <c r="L105" s="23"/>
      <c r="M105" s="23"/>
      <c r="N105" s="198"/>
      <c r="O105" s="23">
        <f t="shared" si="18"/>
        <v>4100</v>
      </c>
      <c r="P105" s="23">
        <f t="shared" si="19"/>
        <v>3932</v>
      </c>
      <c r="Q105" s="203">
        <f t="shared" ref="Q105:Q136" si="20">P105/O105*100</f>
        <v>95.902439024390247</v>
      </c>
    </row>
    <row r="106" spans="2:17" x14ac:dyDescent="0.2">
      <c r="B106" s="72">
        <f t="shared" si="9"/>
        <v>98</v>
      </c>
      <c r="C106" s="12"/>
      <c r="D106" s="12"/>
      <c r="E106" s="12"/>
      <c r="F106" s="52" t="s">
        <v>198</v>
      </c>
      <c r="G106" s="12">
        <v>640</v>
      </c>
      <c r="H106" s="12" t="s">
        <v>134</v>
      </c>
      <c r="I106" s="49">
        <f>2352-1900</f>
        <v>452</v>
      </c>
      <c r="J106" s="49">
        <v>454</v>
      </c>
      <c r="K106" s="198">
        <f t="shared" si="16"/>
        <v>100.44247787610618</v>
      </c>
      <c r="L106" s="49"/>
      <c r="M106" s="49"/>
      <c r="N106" s="198"/>
      <c r="O106" s="49">
        <f t="shared" si="18"/>
        <v>452</v>
      </c>
      <c r="P106" s="49">
        <f t="shared" si="19"/>
        <v>454</v>
      </c>
      <c r="Q106" s="203">
        <f t="shared" si="20"/>
        <v>100.44247787610618</v>
      </c>
    </row>
    <row r="107" spans="2:17" x14ac:dyDescent="0.2">
      <c r="B107" s="72">
        <f t="shared" si="9"/>
        <v>99</v>
      </c>
      <c r="C107" s="12"/>
      <c r="D107" s="12"/>
      <c r="E107" s="12"/>
      <c r="F107" s="52" t="s">
        <v>198</v>
      </c>
      <c r="G107" s="12">
        <v>710</v>
      </c>
      <c r="H107" s="12" t="s">
        <v>183</v>
      </c>
      <c r="I107" s="49">
        <f>I108</f>
        <v>0</v>
      </c>
      <c r="J107" s="49">
        <f>J108</f>
        <v>0</v>
      </c>
      <c r="K107" s="198"/>
      <c r="L107" s="49">
        <f>L108</f>
        <v>11000</v>
      </c>
      <c r="M107" s="49">
        <f>M108</f>
        <v>9977</v>
      </c>
      <c r="N107" s="198">
        <f>M107/L107*100</f>
        <v>90.7</v>
      </c>
      <c r="O107" s="49">
        <f t="shared" si="18"/>
        <v>11000</v>
      </c>
      <c r="P107" s="49">
        <f t="shared" si="19"/>
        <v>9977</v>
      </c>
      <c r="Q107" s="203">
        <f t="shared" si="20"/>
        <v>90.7</v>
      </c>
    </row>
    <row r="108" spans="2:17" x14ac:dyDescent="0.2">
      <c r="B108" s="72">
        <f t="shared" si="9"/>
        <v>100</v>
      </c>
      <c r="C108" s="4"/>
      <c r="D108" s="4"/>
      <c r="E108" s="4"/>
      <c r="F108" s="82" t="s">
        <v>198</v>
      </c>
      <c r="G108" s="83">
        <v>717</v>
      </c>
      <c r="H108" s="83" t="s">
        <v>193</v>
      </c>
      <c r="I108" s="84"/>
      <c r="J108" s="84"/>
      <c r="K108" s="198"/>
      <c r="L108" s="84">
        <f>L109</f>
        <v>11000</v>
      </c>
      <c r="M108" s="84">
        <f>M109</f>
        <v>9977</v>
      </c>
      <c r="N108" s="198">
        <f>M108/L108*100</f>
        <v>90.7</v>
      </c>
      <c r="O108" s="84">
        <f t="shared" si="18"/>
        <v>11000</v>
      </c>
      <c r="P108" s="84">
        <f t="shared" si="19"/>
        <v>9977</v>
      </c>
      <c r="Q108" s="203">
        <f t="shared" si="20"/>
        <v>90.7</v>
      </c>
    </row>
    <row r="109" spans="2:17" x14ac:dyDescent="0.2">
      <c r="B109" s="72">
        <f t="shared" si="9"/>
        <v>101</v>
      </c>
      <c r="C109" s="4"/>
      <c r="D109" s="4"/>
      <c r="E109" s="4"/>
      <c r="F109" s="64"/>
      <c r="G109" s="60"/>
      <c r="H109" s="60" t="s">
        <v>489</v>
      </c>
      <c r="I109" s="58"/>
      <c r="J109" s="58"/>
      <c r="K109" s="198"/>
      <c r="L109" s="58">
        <f>15000-4000</f>
        <v>11000</v>
      </c>
      <c r="M109" s="58">
        <v>9977</v>
      </c>
      <c r="N109" s="198">
        <f>M109/L109*100</f>
        <v>90.7</v>
      </c>
      <c r="O109" s="23">
        <f t="shared" si="18"/>
        <v>11000</v>
      </c>
      <c r="P109" s="23">
        <f t="shared" si="19"/>
        <v>9977</v>
      </c>
      <c r="Q109" s="203">
        <f t="shared" si="20"/>
        <v>90.7</v>
      </c>
    </row>
    <row r="110" spans="2:17" x14ac:dyDescent="0.2">
      <c r="B110" s="72">
        <f t="shared" si="9"/>
        <v>102</v>
      </c>
      <c r="C110" s="11"/>
      <c r="D110" s="11"/>
      <c r="E110" s="11" t="s">
        <v>82</v>
      </c>
      <c r="F110" s="51"/>
      <c r="G110" s="11"/>
      <c r="H110" s="11" t="s">
        <v>83</v>
      </c>
      <c r="I110" s="48">
        <f>I119+I113+I112+I111</f>
        <v>257526</v>
      </c>
      <c r="J110" s="48">
        <f>J119+J113+J112+J111</f>
        <v>254182</v>
      </c>
      <c r="K110" s="198">
        <f t="shared" ref="K110:K119" si="21">J110/I110*100</f>
        <v>98.701490334956461</v>
      </c>
      <c r="L110" s="48">
        <f>L119+L113+L112+L111+L120</f>
        <v>7000</v>
      </c>
      <c r="M110" s="48">
        <f>M119+M113+M112+M111+M120</f>
        <v>7000</v>
      </c>
      <c r="N110" s="198">
        <f>M110/L110*100</f>
        <v>100</v>
      </c>
      <c r="O110" s="48">
        <f t="shared" si="18"/>
        <v>264526</v>
      </c>
      <c r="P110" s="48">
        <f t="shared" si="19"/>
        <v>261182</v>
      </c>
      <c r="Q110" s="203">
        <f t="shared" si="20"/>
        <v>98.735852052350239</v>
      </c>
    </row>
    <row r="111" spans="2:17" x14ac:dyDescent="0.2">
      <c r="B111" s="72">
        <f t="shared" ref="B111:B174" si="22">B110+1</f>
        <v>103</v>
      </c>
      <c r="C111" s="12"/>
      <c r="D111" s="12"/>
      <c r="E111" s="12"/>
      <c r="F111" s="52" t="s">
        <v>198</v>
      </c>
      <c r="G111" s="12">
        <v>610</v>
      </c>
      <c r="H111" s="12" t="s">
        <v>135</v>
      </c>
      <c r="I111" s="49">
        <f>134310+1763+1568</f>
        <v>137641</v>
      </c>
      <c r="J111" s="49">
        <v>137641</v>
      </c>
      <c r="K111" s="198">
        <f t="shared" si="21"/>
        <v>100</v>
      </c>
      <c r="L111" s="49"/>
      <c r="M111" s="49"/>
      <c r="N111" s="198"/>
      <c r="O111" s="49">
        <f t="shared" si="18"/>
        <v>137641</v>
      </c>
      <c r="P111" s="49">
        <f t="shared" si="19"/>
        <v>137641</v>
      </c>
      <c r="Q111" s="203">
        <f t="shared" si="20"/>
        <v>100</v>
      </c>
    </row>
    <row r="112" spans="2:17" x14ac:dyDescent="0.2">
      <c r="B112" s="72">
        <f t="shared" si="22"/>
        <v>104</v>
      </c>
      <c r="C112" s="12"/>
      <c r="D112" s="12"/>
      <c r="E112" s="12"/>
      <c r="F112" s="52" t="s">
        <v>198</v>
      </c>
      <c r="G112" s="12">
        <v>620</v>
      </c>
      <c r="H112" s="12" t="s">
        <v>130</v>
      </c>
      <c r="I112" s="49">
        <f>51588-1568</f>
        <v>50020</v>
      </c>
      <c r="J112" s="49">
        <v>50020</v>
      </c>
      <c r="K112" s="198">
        <f t="shared" si="21"/>
        <v>100</v>
      </c>
      <c r="L112" s="49"/>
      <c r="M112" s="49"/>
      <c r="N112" s="198"/>
      <c r="O112" s="49">
        <f t="shared" si="18"/>
        <v>50020</v>
      </c>
      <c r="P112" s="49">
        <f t="shared" si="19"/>
        <v>50020</v>
      </c>
      <c r="Q112" s="203">
        <f t="shared" si="20"/>
        <v>100</v>
      </c>
    </row>
    <row r="113" spans="2:17" x14ac:dyDescent="0.2">
      <c r="B113" s="72">
        <f t="shared" si="22"/>
        <v>105</v>
      </c>
      <c r="C113" s="12"/>
      <c r="D113" s="12"/>
      <c r="E113" s="12"/>
      <c r="F113" s="52" t="s">
        <v>198</v>
      </c>
      <c r="G113" s="12">
        <v>630</v>
      </c>
      <c r="H113" s="12" t="s">
        <v>127</v>
      </c>
      <c r="I113" s="49">
        <f>I118+I117+I116+I115+I114</f>
        <v>67161</v>
      </c>
      <c r="J113" s="49">
        <f>J118+J117+J116+J115+J114</f>
        <v>63798</v>
      </c>
      <c r="K113" s="198">
        <f t="shared" si="21"/>
        <v>94.992629651136824</v>
      </c>
      <c r="L113" s="49">
        <v>0</v>
      </c>
      <c r="M113" s="49"/>
      <c r="N113" s="198"/>
      <c r="O113" s="49">
        <f t="shared" si="18"/>
        <v>67161</v>
      </c>
      <c r="P113" s="49">
        <f t="shared" si="19"/>
        <v>63798</v>
      </c>
      <c r="Q113" s="203">
        <f t="shared" si="20"/>
        <v>94.992629651136824</v>
      </c>
    </row>
    <row r="114" spans="2:17" x14ac:dyDescent="0.2">
      <c r="B114" s="72">
        <f t="shared" si="22"/>
        <v>106</v>
      </c>
      <c r="C114" s="12"/>
      <c r="D114" s="12"/>
      <c r="E114" s="12"/>
      <c r="F114" s="53" t="s">
        <v>198</v>
      </c>
      <c r="G114" s="4">
        <v>631</v>
      </c>
      <c r="H114" s="4" t="s">
        <v>133</v>
      </c>
      <c r="I114" s="23">
        <v>23</v>
      </c>
      <c r="J114" s="23">
        <v>23</v>
      </c>
      <c r="K114" s="198">
        <f t="shared" si="21"/>
        <v>100</v>
      </c>
      <c r="L114" s="23"/>
      <c r="M114" s="23"/>
      <c r="N114" s="198"/>
      <c r="O114" s="23">
        <f t="shared" si="18"/>
        <v>23</v>
      </c>
      <c r="P114" s="23">
        <f t="shared" si="19"/>
        <v>23</v>
      </c>
      <c r="Q114" s="203">
        <f t="shared" si="20"/>
        <v>100</v>
      </c>
    </row>
    <row r="115" spans="2:17" x14ac:dyDescent="0.2">
      <c r="B115" s="72">
        <f t="shared" si="22"/>
        <v>107</v>
      </c>
      <c r="C115" s="4"/>
      <c r="D115" s="4"/>
      <c r="E115" s="4"/>
      <c r="F115" s="53" t="s">
        <v>198</v>
      </c>
      <c r="G115" s="4">
        <v>632</v>
      </c>
      <c r="H115" s="4" t="s">
        <v>138</v>
      </c>
      <c r="I115" s="23">
        <f>53910-12640</f>
        <v>41270</v>
      </c>
      <c r="J115" s="23">
        <v>41270</v>
      </c>
      <c r="K115" s="198">
        <f t="shared" si="21"/>
        <v>100</v>
      </c>
      <c r="L115" s="23"/>
      <c r="M115" s="23"/>
      <c r="N115" s="198"/>
      <c r="O115" s="23">
        <f t="shared" si="18"/>
        <v>41270</v>
      </c>
      <c r="P115" s="23">
        <f t="shared" si="19"/>
        <v>41270</v>
      </c>
      <c r="Q115" s="203">
        <f t="shared" si="20"/>
        <v>100</v>
      </c>
    </row>
    <row r="116" spans="2:17" x14ac:dyDescent="0.2">
      <c r="B116" s="72">
        <f t="shared" si="22"/>
        <v>108</v>
      </c>
      <c r="C116" s="4"/>
      <c r="D116" s="4"/>
      <c r="E116" s="4"/>
      <c r="F116" s="53" t="s">
        <v>198</v>
      </c>
      <c r="G116" s="4">
        <v>633</v>
      </c>
      <c r="H116" s="4" t="s">
        <v>131</v>
      </c>
      <c r="I116" s="23">
        <f>8043+2240+1560+4779</f>
        <v>16622</v>
      </c>
      <c r="J116" s="23">
        <v>15427</v>
      </c>
      <c r="K116" s="198">
        <f t="shared" si="21"/>
        <v>92.810732763806996</v>
      </c>
      <c r="L116" s="23"/>
      <c r="M116" s="23"/>
      <c r="N116" s="198"/>
      <c r="O116" s="23">
        <f t="shared" si="18"/>
        <v>16622</v>
      </c>
      <c r="P116" s="23">
        <f t="shared" si="19"/>
        <v>15427</v>
      </c>
      <c r="Q116" s="203">
        <f t="shared" si="20"/>
        <v>92.810732763806996</v>
      </c>
    </row>
    <row r="117" spans="2:17" x14ac:dyDescent="0.2">
      <c r="B117" s="72">
        <f t="shared" si="22"/>
        <v>109</v>
      </c>
      <c r="C117" s="4"/>
      <c r="D117" s="4"/>
      <c r="E117" s="4"/>
      <c r="F117" s="53" t="s">
        <v>198</v>
      </c>
      <c r="G117" s="4">
        <v>635</v>
      </c>
      <c r="H117" s="4" t="s">
        <v>137</v>
      </c>
      <c r="I117" s="23">
        <f>800+3516</f>
        <v>4316</v>
      </c>
      <c r="J117" s="23">
        <v>3244</v>
      </c>
      <c r="K117" s="198">
        <f t="shared" si="21"/>
        <v>75.162187210379983</v>
      </c>
      <c r="L117" s="23"/>
      <c r="M117" s="23"/>
      <c r="N117" s="198"/>
      <c r="O117" s="23">
        <f t="shared" si="18"/>
        <v>4316</v>
      </c>
      <c r="P117" s="23">
        <f t="shared" si="19"/>
        <v>3244</v>
      </c>
      <c r="Q117" s="203">
        <f t="shared" si="20"/>
        <v>75.162187210379983</v>
      </c>
    </row>
    <row r="118" spans="2:17" x14ac:dyDescent="0.2">
      <c r="B118" s="72">
        <f t="shared" si="22"/>
        <v>110</v>
      </c>
      <c r="C118" s="4"/>
      <c r="D118" s="4"/>
      <c r="E118" s="4"/>
      <c r="F118" s="53" t="s">
        <v>198</v>
      </c>
      <c r="G118" s="4">
        <v>637</v>
      </c>
      <c r="H118" s="4" t="s">
        <v>128</v>
      </c>
      <c r="I118" s="23">
        <v>4930</v>
      </c>
      <c r="J118" s="23">
        <v>3834</v>
      </c>
      <c r="K118" s="198">
        <f t="shared" si="21"/>
        <v>77.768762677484787</v>
      </c>
      <c r="L118" s="23"/>
      <c r="M118" s="23"/>
      <c r="N118" s="198"/>
      <c r="O118" s="23">
        <f t="shared" si="18"/>
        <v>4930</v>
      </c>
      <c r="P118" s="23">
        <f t="shared" si="19"/>
        <v>3834</v>
      </c>
      <c r="Q118" s="203">
        <f t="shared" si="20"/>
        <v>77.768762677484787</v>
      </c>
    </row>
    <row r="119" spans="2:17" x14ac:dyDescent="0.2">
      <c r="B119" s="72">
        <f t="shared" si="22"/>
        <v>111</v>
      </c>
      <c r="C119" s="12"/>
      <c r="D119" s="12"/>
      <c r="E119" s="12"/>
      <c r="F119" s="52" t="s">
        <v>198</v>
      </c>
      <c r="G119" s="12">
        <v>640</v>
      </c>
      <c r="H119" s="12" t="s">
        <v>134</v>
      </c>
      <c r="I119" s="49">
        <f>4704-2000</f>
        <v>2704</v>
      </c>
      <c r="J119" s="49">
        <v>2723</v>
      </c>
      <c r="K119" s="198">
        <f t="shared" si="21"/>
        <v>100.7026627218935</v>
      </c>
      <c r="L119" s="49"/>
      <c r="M119" s="49"/>
      <c r="N119" s="198"/>
      <c r="O119" s="49">
        <f t="shared" si="18"/>
        <v>2704</v>
      </c>
      <c r="P119" s="49">
        <f t="shared" si="19"/>
        <v>2723</v>
      </c>
      <c r="Q119" s="203">
        <f t="shared" si="20"/>
        <v>100.7026627218935</v>
      </c>
    </row>
    <row r="120" spans="2:17" x14ac:dyDescent="0.2">
      <c r="B120" s="72">
        <f t="shared" si="22"/>
        <v>112</v>
      </c>
      <c r="C120" s="12"/>
      <c r="D120" s="12"/>
      <c r="E120" s="12"/>
      <c r="F120" s="52" t="s">
        <v>198</v>
      </c>
      <c r="G120" s="12">
        <v>710</v>
      </c>
      <c r="H120" s="12" t="s">
        <v>183</v>
      </c>
      <c r="I120" s="49">
        <f>I121</f>
        <v>0</v>
      </c>
      <c r="J120" s="49">
        <f>J121</f>
        <v>0</v>
      </c>
      <c r="K120" s="198"/>
      <c r="L120" s="49">
        <f>L121</f>
        <v>7000</v>
      </c>
      <c r="M120" s="49">
        <f>M121</f>
        <v>7000</v>
      </c>
      <c r="N120" s="198">
        <f>M120/L120*100</f>
        <v>100</v>
      </c>
      <c r="O120" s="49">
        <f t="shared" si="18"/>
        <v>7000</v>
      </c>
      <c r="P120" s="49">
        <f t="shared" si="19"/>
        <v>7000</v>
      </c>
      <c r="Q120" s="203">
        <f t="shared" si="20"/>
        <v>100</v>
      </c>
    </row>
    <row r="121" spans="2:17" x14ac:dyDescent="0.2">
      <c r="B121" s="72">
        <f t="shared" si="22"/>
        <v>113</v>
      </c>
      <c r="C121" s="12"/>
      <c r="D121" s="12"/>
      <c r="E121" s="12"/>
      <c r="F121" s="82" t="s">
        <v>198</v>
      </c>
      <c r="G121" s="83">
        <v>717</v>
      </c>
      <c r="H121" s="83" t="s">
        <v>193</v>
      </c>
      <c r="I121" s="84"/>
      <c r="J121" s="84"/>
      <c r="K121" s="198"/>
      <c r="L121" s="84">
        <f>L122</f>
        <v>7000</v>
      </c>
      <c r="M121" s="84">
        <f>M122</f>
        <v>7000</v>
      </c>
      <c r="N121" s="198">
        <f>M121/L121*100</f>
        <v>100</v>
      </c>
      <c r="O121" s="84">
        <f t="shared" si="18"/>
        <v>7000</v>
      </c>
      <c r="P121" s="84">
        <f t="shared" si="19"/>
        <v>7000</v>
      </c>
      <c r="Q121" s="203">
        <f t="shared" si="20"/>
        <v>100</v>
      </c>
    </row>
    <row r="122" spans="2:17" x14ac:dyDescent="0.2">
      <c r="B122" s="72">
        <f t="shared" si="22"/>
        <v>114</v>
      </c>
      <c r="C122" s="12"/>
      <c r="D122" s="12"/>
      <c r="E122" s="12"/>
      <c r="F122" s="64"/>
      <c r="G122" s="60"/>
      <c r="H122" s="115" t="s">
        <v>529</v>
      </c>
      <c r="I122" s="114"/>
      <c r="J122" s="114"/>
      <c r="K122" s="198"/>
      <c r="L122" s="114">
        <f>3000+4000</f>
        <v>7000</v>
      </c>
      <c r="M122" s="114">
        <v>7000</v>
      </c>
      <c r="N122" s="198">
        <f>M122/L122*100</f>
        <v>100</v>
      </c>
      <c r="O122" s="114">
        <f t="shared" si="18"/>
        <v>7000</v>
      </c>
      <c r="P122" s="114">
        <f t="shared" si="19"/>
        <v>7000</v>
      </c>
      <c r="Q122" s="203">
        <f t="shared" si="20"/>
        <v>100</v>
      </c>
    </row>
    <row r="123" spans="2:17" x14ac:dyDescent="0.2">
      <c r="B123" s="72">
        <f t="shared" si="22"/>
        <v>115</v>
      </c>
      <c r="C123" s="11"/>
      <c r="D123" s="11"/>
      <c r="E123" s="11" t="s">
        <v>104</v>
      </c>
      <c r="F123" s="51"/>
      <c r="G123" s="11"/>
      <c r="H123" s="11" t="s">
        <v>105</v>
      </c>
      <c r="I123" s="48">
        <f>I133+I132+I126+I125+I124</f>
        <v>170282</v>
      </c>
      <c r="J123" s="48">
        <f>J133+J132+J126+J125+J124</f>
        <v>165877</v>
      </c>
      <c r="K123" s="198">
        <f t="shared" ref="K123:K132" si="23">J123/I123*100</f>
        <v>97.41311471558943</v>
      </c>
      <c r="L123" s="48">
        <f>L134+L136</f>
        <v>163000</v>
      </c>
      <c r="M123" s="48">
        <f>M134+M136</f>
        <v>162653</v>
      </c>
      <c r="N123" s="198">
        <f>M123/L123*100</f>
        <v>99.787116564417175</v>
      </c>
      <c r="O123" s="48">
        <f t="shared" si="18"/>
        <v>333282</v>
      </c>
      <c r="P123" s="48">
        <f t="shared" si="19"/>
        <v>328530</v>
      </c>
      <c r="Q123" s="203">
        <f t="shared" si="20"/>
        <v>98.574180423785265</v>
      </c>
    </row>
    <row r="124" spans="2:17" x14ac:dyDescent="0.2">
      <c r="B124" s="72">
        <f t="shared" si="22"/>
        <v>116</v>
      </c>
      <c r="C124" s="12"/>
      <c r="D124" s="12"/>
      <c r="E124" s="12"/>
      <c r="F124" s="52" t="s">
        <v>198</v>
      </c>
      <c r="G124" s="12">
        <v>610</v>
      </c>
      <c r="H124" s="12" t="s">
        <v>135</v>
      </c>
      <c r="I124" s="49">
        <f>99850+1000+1275</f>
        <v>102125</v>
      </c>
      <c r="J124" s="49">
        <v>102125</v>
      </c>
      <c r="K124" s="198">
        <f t="shared" si="23"/>
        <v>100</v>
      </c>
      <c r="L124" s="49"/>
      <c r="M124" s="49"/>
      <c r="N124" s="198"/>
      <c r="O124" s="49">
        <f t="shared" si="18"/>
        <v>102125</v>
      </c>
      <c r="P124" s="49">
        <f t="shared" si="19"/>
        <v>102125</v>
      </c>
      <c r="Q124" s="203">
        <f t="shared" si="20"/>
        <v>100</v>
      </c>
    </row>
    <row r="125" spans="2:17" x14ac:dyDescent="0.2">
      <c r="B125" s="72">
        <f t="shared" si="22"/>
        <v>117</v>
      </c>
      <c r="C125" s="12"/>
      <c r="D125" s="12"/>
      <c r="E125" s="12"/>
      <c r="F125" s="52" t="s">
        <v>198</v>
      </c>
      <c r="G125" s="12">
        <v>620</v>
      </c>
      <c r="H125" s="12" t="s">
        <v>130</v>
      </c>
      <c r="I125" s="49">
        <f>37638+105-1275</f>
        <v>36468</v>
      </c>
      <c r="J125" s="49">
        <v>36468</v>
      </c>
      <c r="K125" s="198">
        <f t="shared" si="23"/>
        <v>100</v>
      </c>
      <c r="L125" s="49"/>
      <c r="M125" s="49"/>
      <c r="N125" s="198"/>
      <c r="O125" s="49">
        <f t="shared" si="18"/>
        <v>36468</v>
      </c>
      <c r="P125" s="49">
        <f t="shared" si="19"/>
        <v>36468</v>
      </c>
      <c r="Q125" s="203">
        <f t="shared" si="20"/>
        <v>100</v>
      </c>
    </row>
    <row r="126" spans="2:17" x14ac:dyDescent="0.2">
      <c r="B126" s="72">
        <f t="shared" si="22"/>
        <v>118</v>
      </c>
      <c r="C126" s="12"/>
      <c r="D126" s="12"/>
      <c r="E126" s="12"/>
      <c r="F126" s="52" t="s">
        <v>198</v>
      </c>
      <c r="G126" s="12">
        <v>630</v>
      </c>
      <c r="H126" s="12" t="s">
        <v>127</v>
      </c>
      <c r="I126" s="49">
        <f>I131+I130+I129+I128+I127</f>
        <v>30889</v>
      </c>
      <c r="J126" s="49">
        <f>J131+J130+J129+J128+J127</f>
        <v>26483</v>
      </c>
      <c r="K126" s="198">
        <f t="shared" si="23"/>
        <v>85.736022532293049</v>
      </c>
      <c r="L126" s="49">
        <v>0</v>
      </c>
      <c r="M126" s="49"/>
      <c r="N126" s="198"/>
      <c r="O126" s="49">
        <f t="shared" si="18"/>
        <v>30889</v>
      </c>
      <c r="P126" s="49">
        <f t="shared" si="19"/>
        <v>26483</v>
      </c>
      <c r="Q126" s="203">
        <f t="shared" si="20"/>
        <v>85.736022532293049</v>
      </c>
    </row>
    <row r="127" spans="2:17" x14ac:dyDescent="0.2">
      <c r="B127" s="72">
        <f t="shared" si="22"/>
        <v>119</v>
      </c>
      <c r="C127" s="12"/>
      <c r="D127" s="12"/>
      <c r="E127" s="12"/>
      <c r="F127" s="53" t="s">
        <v>198</v>
      </c>
      <c r="G127" s="4">
        <v>631</v>
      </c>
      <c r="H127" s="4" t="s">
        <v>133</v>
      </c>
      <c r="I127" s="23">
        <v>23</v>
      </c>
      <c r="J127" s="23">
        <v>23</v>
      </c>
      <c r="K127" s="198">
        <f t="shared" si="23"/>
        <v>100</v>
      </c>
      <c r="L127" s="23"/>
      <c r="M127" s="23"/>
      <c r="N127" s="198"/>
      <c r="O127" s="23">
        <f t="shared" si="18"/>
        <v>23</v>
      </c>
      <c r="P127" s="23">
        <f t="shared" si="19"/>
        <v>23</v>
      </c>
      <c r="Q127" s="203">
        <f t="shared" si="20"/>
        <v>100</v>
      </c>
    </row>
    <row r="128" spans="2:17" x14ac:dyDescent="0.2">
      <c r="B128" s="72">
        <f t="shared" si="22"/>
        <v>120</v>
      </c>
      <c r="C128" s="4"/>
      <c r="D128" s="4"/>
      <c r="E128" s="4"/>
      <c r="F128" s="53" t="s">
        <v>198</v>
      </c>
      <c r="G128" s="4">
        <v>632</v>
      </c>
      <c r="H128" s="4" t="s">
        <v>138</v>
      </c>
      <c r="I128" s="23">
        <f>14100+300+158</f>
        <v>14558</v>
      </c>
      <c r="J128" s="23">
        <v>14558</v>
      </c>
      <c r="K128" s="198">
        <f t="shared" si="23"/>
        <v>100</v>
      </c>
      <c r="L128" s="23"/>
      <c r="M128" s="23"/>
      <c r="N128" s="198"/>
      <c r="O128" s="23">
        <f t="shared" si="18"/>
        <v>14558</v>
      </c>
      <c r="P128" s="23">
        <f t="shared" si="19"/>
        <v>14558</v>
      </c>
      <c r="Q128" s="203">
        <f t="shared" si="20"/>
        <v>100</v>
      </c>
    </row>
    <row r="129" spans="2:17" x14ac:dyDescent="0.2">
      <c r="B129" s="72">
        <f t="shared" si="22"/>
        <v>121</v>
      </c>
      <c r="C129" s="4"/>
      <c r="D129" s="4"/>
      <c r="E129" s="4"/>
      <c r="F129" s="53" t="s">
        <v>198</v>
      </c>
      <c r="G129" s="4">
        <v>633</v>
      </c>
      <c r="H129" s="4" t="s">
        <v>131</v>
      </c>
      <c r="I129" s="23">
        <f>6847+1216+22</f>
        <v>8085</v>
      </c>
      <c r="J129" s="23">
        <v>6513</v>
      </c>
      <c r="K129" s="198">
        <f t="shared" si="23"/>
        <v>80.556586270871989</v>
      </c>
      <c r="L129" s="23"/>
      <c r="M129" s="23"/>
      <c r="N129" s="198"/>
      <c r="O129" s="23">
        <f t="shared" si="18"/>
        <v>8085</v>
      </c>
      <c r="P129" s="23">
        <f t="shared" si="19"/>
        <v>6513</v>
      </c>
      <c r="Q129" s="203">
        <f t="shared" si="20"/>
        <v>80.556586270871989</v>
      </c>
    </row>
    <row r="130" spans="2:17" x14ac:dyDescent="0.2">
      <c r="B130" s="72">
        <f t="shared" si="22"/>
        <v>122</v>
      </c>
      <c r="C130" s="4"/>
      <c r="D130" s="4"/>
      <c r="E130" s="4"/>
      <c r="F130" s="53" t="s">
        <v>198</v>
      </c>
      <c r="G130" s="4">
        <v>635</v>
      </c>
      <c r="H130" s="4" t="s">
        <v>137</v>
      </c>
      <c r="I130" s="23">
        <f>550+4501-158</f>
        <v>4893</v>
      </c>
      <c r="J130" s="23">
        <v>2351</v>
      </c>
      <c r="K130" s="198">
        <f t="shared" si="23"/>
        <v>48.048232168403842</v>
      </c>
      <c r="L130" s="23"/>
      <c r="M130" s="23"/>
      <c r="N130" s="198"/>
      <c r="O130" s="23">
        <f t="shared" si="18"/>
        <v>4893</v>
      </c>
      <c r="P130" s="23">
        <f t="shared" si="19"/>
        <v>2351</v>
      </c>
      <c r="Q130" s="203">
        <f t="shared" si="20"/>
        <v>48.048232168403842</v>
      </c>
    </row>
    <row r="131" spans="2:17" x14ac:dyDescent="0.2">
      <c r="B131" s="72">
        <f t="shared" si="22"/>
        <v>123</v>
      </c>
      <c r="C131" s="4"/>
      <c r="D131" s="4"/>
      <c r="E131" s="4"/>
      <c r="F131" s="53" t="s">
        <v>198</v>
      </c>
      <c r="G131" s="4">
        <v>637</v>
      </c>
      <c r="H131" s="4" t="s">
        <v>128</v>
      </c>
      <c r="I131" s="23">
        <v>3330</v>
      </c>
      <c r="J131" s="23">
        <v>3038</v>
      </c>
      <c r="K131" s="198">
        <f t="shared" si="23"/>
        <v>91.231231231231234</v>
      </c>
      <c r="L131" s="23"/>
      <c r="M131" s="23"/>
      <c r="N131" s="201"/>
      <c r="O131" s="23">
        <f t="shared" ref="O131:O149" si="24">L131+I131</f>
        <v>3330</v>
      </c>
      <c r="P131" s="23">
        <f t="shared" ref="P131:P149" si="25">M131+J131</f>
        <v>3038</v>
      </c>
      <c r="Q131" s="203">
        <f t="shared" si="20"/>
        <v>91.231231231231234</v>
      </c>
    </row>
    <row r="132" spans="2:17" x14ac:dyDescent="0.2">
      <c r="B132" s="72">
        <f t="shared" si="22"/>
        <v>124</v>
      </c>
      <c r="C132" s="12"/>
      <c r="D132" s="12"/>
      <c r="E132" s="12"/>
      <c r="F132" s="52" t="s">
        <v>198</v>
      </c>
      <c r="G132" s="12">
        <v>640</v>
      </c>
      <c r="H132" s="12" t="s">
        <v>134</v>
      </c>
      <c r="I132" s="49">
        <f>1500-700</f>
        <v>800</v>
      </c>
      <c r="J132" s="49">
        <v>801</v>
      </c>
      <c r="K132" s="198">
        <f t="shared" si="23"/>
        <v>100.125</v>
      </c>
      <c r="L132" s="49"/>
      <c r="M132" s="49"/>
      <c r="N132" s="201"/>
      <c r="O132" s="49">
        <f t="shared" si="24"/>
        <v>800</v>
      </c>
      <c r="P132" s="49">
        <f t="shared" si="25"/>
        <v>801</v>
      </c>
      <c r="Q132" s="203">
        <f t="shared" si="20"/>
        <v>100.125</v>
      </c>
    </row>
    <row r="133" spans="2:17" x14ac:dyDescent="0.2">
      <c r="B133" s="72">
        <f t="shared" si="22"/>
        <v>125</v>
      </c>
      <c r="C133" s="12"/>
      <c r="D133" s="12"/>
      <c r="E133" s="12"/>
      <c r="F133" s="52" t="s">
        <v>198</v>
      </c>
      <c r="G133" s="12">
        <v>710</v>
      </c>
      <c r="H133" s="12" t="s">
        <v>183</v>
      </c>
      <c r="I133" s="49">
        <f>I136</f>
        <v>0</v>
      </c>
      <c r="J133" s="49">
        <f>J136</f>
        <v>0</v>
      </c>
      <c r="K133" s="198"/>
      <c r="L133" s="49">
        <f>L136</f>
        <v>160000</v>
      </c>
      <c r="M133" s="49">
        <f>M136</f>
        <v>159953</v>
      </c>
      <c r="N133" s="201">
        <f t="shared" ref="N133:N138" si="26">M133/L133*100</f>
        <v>99.970624999999998</v>
      </c>
      <c r="O133" s="49">
        <f t="shared" si="24"/>
        <v>160000</v>
      </c>
      <c r="P133" s="49">
        <f t="shared" si="25"/>
        <v>159953</v>
      </c>
      <c r="Q133" s="203">
        <f t="shared" si="20"/>
        <v>99.970624999999998</v>
      </c>
    </row>
    <row r="134" spans="2:17" x14ac:dyDescent="0.2">
      <c r="B134" s="72">
        <f t="shared" si="22"/>
        <v>126</v>
      </c>
      <c r="C134" s="12"/>
      <c r="D134" s="12"/>
      <c r="E134" s="12"/>
      <c r="F134" s="82" t="s">
        <v>198</v>
      </c>
      <c r="G134" s="83">
        <v>716</v>
      </c>
      <c r="H134" s="83" t="s">
        <v>0</v>
      </c>
      <c r="I134" s="84"/>
      <c r="J134" s="84"/>
      <c r="K134" s="198"/>
      <c r="L134" s="84">
        <f>L135</f>
        <v>3000</v>
      </c>
      <c r="M134" s="84">
        <f>M135</f>
        <v>2700</v>
      </c>
      <c r="N134" s="201">
        <f t="shared" si="26"/>
        <v>90</v>
      </c>
      <c r="O134" s="84">
        <f t="shared" si="24"/>
        <v>3000</v>
      </c>
      <c r="P134" s="84">
        <f t="shared" si="25"/>
        <v>2700</v>
      </c>
      <c r="Q134" s="203">
        <f t="shared" si="20"/>
        <v>90</v>
      </c>
    </row>
    <row r="135" spans="2:17" x14ac:dyDescent="0.2">
      <c r="B135" s="72">
        <f t="shared" si="22"/>
        <v>127</v>
      </c>
      <c r="C135" s="12"/>
      <c r="D135" s="12"/>
      <c r="E135" s="12"/>
      <c r="F135" s="53"/>
      <c r="G135" s="4"/>
      <c r="H135" s="4" t="s">
        <v>487</v>
      </c>
      <c r="I135" s="23"/>
      <c r="J135" s="23"/>
      <c r="K135" s="198"/>
      <c r="L135" s="23">
        <f>1500+1500</f>
        <v>3000</v>
      </c>
      <c r="M135" s="23">
        <v>2700</v>
      </c>
      <c r="N135" s="201">
        <f t="shared" si="26"/>
        <v>90</v>
      </c>
      <c r="O135" s="23">
        <f t="shared" si="24"/>
        <v>3000</v>
      </c>
      <c r="P135" s="23">
        <f t="shared" si="25"/>
        <v>2700</v>
      </c>
      <c r="Q135" s="203">
        <f t="shared" si="20"/>
        <v>90</v>
      </c>
    </row>
    <row r="136" spans="2:17" x14ac:dyDescent="0.2">
      <c r="B136" s="72">
        <f t="shared" si="22"/>
        <v>128</v>
      </c>
      <c r="C136" s="4"/>
      <c r="D136" s="4"/>
      <c r="E136" s="4"/>
      <c r="F136" s="82" t="s">
        <v>198</v>
      </c>
      <c r="G136" s="83">
        <v>717</v>
      </c>
      <c r="H136" s="83" t="s">
        <v>193</v>
      </c>
      <c r="I136" s="84"/>
      <c r="J136" s="84"/>
      <c r="K136" s="198"/>
      <c r="L136" s="84">
        <f>L137</f>
        <v>160000</v>
      </c>
      <c r="M136" s="84">
        <f>M137</f>
        <v>159953</v>
      </c>
      <c r="N136" s="201">
        <f t="shared" si="26"/>
        <v>99.970624999999998</v>
      </c>
      <c r="O136" s="84">
        <f t="shared" si="24"/>
        <v>160000</v>
      </c>
      <c r="P136" s="84">
        <f t="shared" si="25"/>
        <v>159953</v>
      </c>
      <c r="Q136" s="203">
        <f t="shared" si="20"/>
        <v>99.970624999999998</v>
      </c>
    </row>
    <row r="137" spans="2:17" x14ac:dyDescent="0.2">
      <c r="B137" s="72">
        <f t="shared" si="22"/>
        <v>129</v>
      </c>
      <c r="C137" s="4"/>
      <c r="D137" s="4"/>
      <c r="E137" s="4"/>
      <c r="F137" s="53"/>
      <c r="G137" s="4"/>
      <c r="H137" s="4" t="s">
        <v>332</v>
      </c>
      <c r="I137" s="23"/>
      <c r="J137" s="23"/>
      <c r="K137" s="198"/>
      <c r="L137" s="23">
        <f>38500+6500+115000</f>
        <v>160000</v>
      </c>
      <c r="M137" s="23">
        <f>10026+149927</f>
        <v>159953</v>
      </c>
      <c r="N137" s="201">
        <f t="shared" si="26"/>
        <v>99.970624999999998</v>
      </c>
      <c r="O137" s="23">
        <f t="shared" si="24"/>
        <v>160000</v>
      </c>
      <c r="P137" s="23">
        <f t="shared" si="25"/>
        <v>159953</v>
      </c>
      <c r="Q137" s="203">
        <f t="shared" ref="Q137:Q151" si="27">P137/O137*100</f>
        <v>99.970624999999998</v>
      </c>
    </row>
    <row r="138" spans="2:17" x14ac:dyDescent="0.2">
      <c r="B138" s="72">
        <f t="shared" si="22"/>
        <v>130</v>
      </c>
      <c r="C138" s="11"/>
      <c r="D138" s="11"/>
      <c r="E138" s="11" t="s">
        <v>103</v>
      </c>
      <c r="F138" s="51"/>
      <c r="G138" s="11"/>
      <c r="H138" s="11" t="s">
        <v>250</v>
      </c>
      <c r="I138" s="48">
        <f>I148+I147+I141+I140+I139</f>
        <v>234411</v>
      </c>
      <c r="J138" s="48">
        <f>J148+J147+J141+J140+J139</f>
        <v>233558</v>
      </c>
      <c r="K138" s="198">
        <f t="shared" ref="K138:K147" si="28">J138/I138*100</f>
        <v>99.636109226956066</v>
      </c>
      <c r="L138" s="48">
        <f>L148+L147+L141+L140+L139</f>
        <v>41660</v>
      </c>
      <c r="M138" s="48">
        <f>M148+M147+M141+M140+M139</f>
        <v>40796</v>
      </c>
      <c r="N138" s="201">
        <f t="shared" si="26"/>
        <v>97.926068170907342</v>
      </c>
      <c r="O138" s="48">
        <f t="shared" si="24"/>
        <v>276071</v>
      </c>
      <c r="P138" s="48">
        <f t="shared" si="25"/>
        <v>274354</v>
      </c>
      <c r="Q138" s="203">
        <f t="shared" si="27"/>
        <v>99.378058542911063</v>
      </c>
    </row>
    <row r="139" spans="2:17" x14ac:dyDescent="0.2">
      <c r="B139" s="72">
        <f t="shared" si="22"/>
        <v>131</v>
      </c>
      <c r="C139" s="12"/>
      <c r="D139" s="12"/>
      <c r="E139" s="12"/>
      <c r="F139" s="52" t="s">
        <v>198</v>
      </c>
      <c r="G139" s="12">
        <v>610</v>
      </c>
      <c r="H139" s="12" t="s">
        <v>135</v>
      </c>
      <c r="I139" s="49">
        <f>123215+200+1308</f>
        <v>124723</v>
      </c>
      <c r="J139" s="49">
        <v>124723</v>
      </c>
      <c r="K139" s="198">
        <f t="shared" si="28"/>
        <v>100</v>
      </c>
      <c r="L139" s="49"/>
      <c r="M139" s="49"/>
      <c r="N139" s="201"/>
      <c r="O139" s="49">
        <f t="shared" si="24"/>
        <v>124723</v>
      </c>
      <c r="P139" s="49">
        <f t="shared" si="25"/>
        <v>124723</v>
      </c>
      <c r="Q139" s="203">
        <f t="shared" si="27"/>
        <v>100</v>
      </c>
    </row>
    <row r="140" spans="2:17" x14ac:dyDescent="0.2">
      <c r="B140" s="72">
        <f t="shared" si="22"/>
        <v>132</v>
      </c>
      <c r="C140" s="12"/>
      <c r="D140" s="12"/>
      <c r="E140" s="12"/>
      <c r="F140" s="52" t="s">
        <v>198</v>
      </c>
      <c r="G140" s="12">
        <v>620</v>
      </c>
      <c r="H140" s="12" t="s">
        <v>130</v>
      </c>
      <c r="I140" s="49">
        <f>45750-1267</f>
        <v>44483</v>
      </c>
      <c r="J140" s="49">
        <v>44483</v>
      </c>
      <c r="K140" s="198">
        <f t="shared" si="28"/>
        <v>100</v>
      </c>
      <c r="L140" s="49"/>
      <c r="M140" s="49"/>
      <c r="N140" s="201"/>
      <c r="O140" s="49">
        <f t="shared" si="24"/>
        <v>44483</v>
      </c>
      <c r="P140" s="49">
        <f t="shared" si="25"/>
        <v>44483</v>
      </c>
      <c r="Q140" s="203">
        <f t="shared" si="27"/>
        <v>100</v>
      </c>
    </row>
    <row r="141" spans="2:17" x14ac:dyDescent="0.2">
      <c r="B141" s="72">
        <f t="shared" si="22"/>
        <v>133</v>
      </c>
      <c r="C141" s="12"/>
      <c r="D141" s="12"/>
      <c r="E141" s="12"/>
      <c r="F141" s="52" t="s">
        <v>198</v>
      </c>
      <c r="G141" s="12">
        <v>630</v>
      </c>
      <c r="H141" s="12" t="s">
        <v>127</v>
      </c>
      <c r="I141" s="49">
        <f>I146+I144+I143+I142+I145</f>
        <v>63906</v>
      </c>
      <c r="J141" s="49">
        <f>J146+J144+J143+J142+J145</f>
        <v>63053</v>
      </c>
      <c r="K141" s="198">
        <f t="shared" si="28"/>
        <v>98.665227052232964</v>
      </c>
      <c r="L141" s="49">
        <v>0</v>
      </c>
      <c r="M141" s="49"/>
      <c r="N141" s="201"/>
      <c r="O141" s="49">
        <f t="shared" si="24"/>
        <v>63906</v>
      </c>
      <c r="P141" s="49">
        <f t="shared" si="25"/>
        <v>63053</v>
      </c>
      <c r="Q141" s="203">
        <f t="shared" si="27"/>
        <v>98.665227052232964</v>
      </c>
    </row>
    <row r="142" spans="2:17" x14ac:dyDescent="0.2">
      <c r="B142" s="72">
        <f t="shared" si="22"/>
        <v>134</v>
      </c>
      <c r="C142" s="4"/>
      <c r="D142" s="4"/>
      <c r="E142" s="4"/>
      <c r="F142" s="53" t="s">
        <v>198</v>
      </c>
      <c r="G142" s="4">
        <v>632</v>
      </c>
      <c r="H142" s="4" t="s">
        <v>138</v>
      </c>
      <c r="I142" s="23">
        <f>42250-5670-742</f>
        <v>35838</v>
      </c>
      <c r="J142" s="23">
        <v>35837</v>
      </c>
      <c r="K142" s="198">
        <f t="shared" si="28"/>
        <v>99.997209665717961</v>
      </c>
      <c r="L142" s="23"/>
      <c r="M142" s="23"/>
      <c r="N142" s="201"/>
      <c r="O142" s="23">
        <f t="shared" si="24"/>
        <v>35838</v>
      </c>
      <c r="P142" s="23">
        <f t="shared" si="25"/>
        <v>35837</v>
      </c>
      <c r="Q142" s="203">
        <f t="shared" si="27"/>
        <v>99.997209665717961</v>
      </c>
    </row>
    <row r="143" spans="2:17" x14ac:dyDescent="0.2">
      <c r="B143" s="72">
        <f t="shared" si="22"/>
        <v>135</v>
      </c>
      <c r="C143" s="4"/>
      <c r="D143" s="4"/>
      <c r="E143" s="4"/>
      <c r="F143" s="53" t="s">
        <v>198</v>
      </c>
      <c r="G143" s="4">
        <v>633</v>
      </c>
      <c r="H143" s="4" t="s">
        <v>131</v>
      </c>
      <c r="I143" s="23">
        <f>12233+1728+565+1513</f>
        <v>16039</v>
      </c>
      <c r="J143" s="23">
        <v>16029</v>
      </c>
      <c r="K143" s="198">
        <f t="shared" si="28"/>
        <v>99.937651973315042</v>
      </c>
      <c r="L143" s="23"/>
      <c r="M143" s="23"/>
      <c r="N143" s="201"/>
      <c r="O143" s="23">
        <f t="shared" si="24"/>
        <v>16039</v>
      </c>
      <c r="P143" s="23">
        <f t="shared" si="25"/>
        <v>16029</v>
      </c>
      <c r="Q143" s="203">
        <f t="shared" si="27"/>
        <v>99.937651973315042</v>
      </c>
    </row>
    <row r="144" spans="2:17" x14ac:dyDescent="0.2">
      <c r="B144" s="72">
        <f t="shared" si="22"/>
        <v>136</v>
      </c>
      <c r="C144" s="4"/>
      <c r="D144" s="4"/>
      <c r="E144" s="4"/>
      <c r="F144" s="53" t="s">
        <v>198</v>
      </c>
      <c r="G144" s="4">
        <v>635</v>
      </c>
      <c r="H144" s="4" t="s">
        <v>137</v>
      </c>
      <c r="I144" s="23">
        <f>2000+2000+4400</f>
        <v>8400</v>
      </c>
      <c r="J144" s="23">
        <v>7558</v>
      </c>
      <c r="K144" s="198">
        <f t="shared" si="28"/>
        <v>89.976190476190482</v>
      </c>
      <c r="L144" s="23"/>
      <c r="M144" s="23"/>
      <c r="N144" s="201"/>
      <c r="O144" s="23">
        <f t="shared" si="24"/>
        <v>8400</v>
      </c>
      <c r="P144" s="23">
        <f t="shared" si="25"/>
        <v>7558</v>
      </c>
      <c r="Q144" s="203">
        <f t="shared" si="27"/>
        <v>89.976190476190482</v>
      </c>
    </row>
    <row r="145" spans="2:17" x14ac:dyDescent="0.2">
      <c r="B145" s="72">
        <f t="shared" si="22"/>
        <v>137</v>
      </c>
      <c r="C145" s="4"/>
      <c r="D145" s="4"/>
      <c r="E145" s="4"/>
      <c r="F145" s="130" t="s">
        <v>198</v>
      </c>
      <c r="G145" s="131">
        <v>635</v>
      </c>
      <c r="H145" s="131" t="s">
        <v>687</v>
      </c>
      <c r="I145" s="129">
        <v>600</v>
      </c>
      <c r="J145" s="129">
        <v>600</v>
      </c>
      <c r="K145" s="198">
        <f t="shared" si="28"/>
        <v>100</v>
      </c>
      <c r="L145" s="129"/>
      <c r="M145" s="129"/>
      <c r="N145" s="201"/>
      <c r="O145" s="129">
        <f t="shared" si="24"/>
        <v>600</v>
      </c>
      <c r="P145" s="129">
        <f t="shared" si="25"/>
        <v>600</v>
      </c>
      <c r="Q145" s="203">
        <f t="shared" si="27"/>
        <v>100</v>
      </c>
    </row>
    <row r="146" spans="2:17" x14ac:dyDescent="0.2">
      <c r="B146" s="72">
        <f t="shared" si="22"/>
        <v>138</v>
      </c>
      <c r="C146" s="4"/>
      <c r="D146" s="4"/>
      <c r="E146" s="4"/>
      <c r="F146" s="53" t="s">
        <v>198</v>
      </c>
      <c r="G146" s="4">
        <v>637</v>
      </c>
      <c r="H146" s="4" t="s">
        <v>128</v>
      </c>
      <c r="I146" s="23">
        <f>3800-771</f>
        <v>3029</v>
      </c>
      <c r="J146" s="23">
        <v>3029</v>
      </c>
      <c r="K146" s="198">
        <f t="shared" si="28"/>
        <v>100</v>
      </c>
      <c r="L146" s="23"/>
      <c r="M146" s="23"/>
      <c r="N146" s="201"/>
      <c r="O146" s="23">
        <f t="shared" si="24"/>
        <v>3029</v>
      </c>
      <c r="P146" s="23">
        <f t="shared" si="25"/>
        <v>3029</v>
      </c>
      <c r="Q146" s="203">
        <f t="shared" si="27"/>
        <v>100</v>
      </c>
    </row>
    <row r="147" spans="2:17" x14ac:dyDescent="0.2">
      <c r="B147" s="72">
        <f t="shared" si="22"/>
        <v>139</v>
      </c>
      <c r="C147" s="12"/>
      <c r="D147" s="12"/>
      <c r="E147" s="12"/>
      <c r="F147" s="52" t="s">
        <v>198</v>
      </c>
      <c r="G147" s="12">
        <v>640</v>
      </c>
      <c r="H147" s="12" t="s">
        <v>134</v>
      </c>
      <c r="I147" s="49">
        <f>1540-200-41</f>
        <v>1299</v>
      </c>
      <c r="J147" s="49">
        <v>1299</v>
      </c>
      <c r="K147" s="198">
        <f t="shared" si="28"/>
        <v>100</v>
      </c>
      <c r="L147" s="49"/>
      <c r="M147" s="49"/>
      <c r="N147" s="201"/>
      <c r="O147" s="49">
        <f t="shared" si="24"/>
        <v>1299</v>
      </c>
      <c r="P147" s="49">
        <f t="shared" si="25"/>
        <v>1299</v>
      </c>
      <c r="Q147" s="203">
        <f t="shared" si="27"/>
        <v>100</v>
      </c>
    </row>
    <row r="148" spans="2:17" x14ac:dyDescent="0.2">
      <c r="B148" s="72">
        <f t="shared" si="22"/>
        <v>140</v>
      </c>
      <c r="C148" s="12"/>
      <c r="D148" s="12"/>
      <c r="E148" s="12"/>
      <c r="F148" s="52" t="s">
        <v>198</v>
      </c>
      <c r="G148" s="12">
        <v>710</v>
      </c>
      <c r="H148" s="12" t="s">
        <v>183</v>
      </c>
      <c r="I148" s="49">
        <v>0</v>
      </c>
      <c r="J148" s="49"/>
      <c r="K148" s="198"/>
      <c r="L148" s="49">
        <f>L151+L149</f>
        <v>41660</v>
      </c>
      <c r="M148" s="49">
        <f>M151+M149</f>
        <v>40796</v>
      </c>
      <c r="N148" s="201">
        <f t="shared" ref="N148:N153" si="29">M148/L148*100</f>
        <v>97.926068170907342</v>
      </c>
      <c r="O148" s="49">
        <f t="shared" si="24"/>
        <v>41660</v>
      </c>
      <c r="P148" s="49">
        <f t="shared" si="25"/>
        <v>40796</v>
      </c>
      <c r="Q148" s="203">
        <f t="shared" si="27"/>
        <v>97.926068170907342</v>
      </c>
    </row>
    <row r="149" spans="2:17" x14ac:dyDescent="0.2">
      <c r="B149" s="72">
        <f t="shared" si="22"/>
        <v>141</v>
      </c>
      <c r="C149" s="12"/>
      <c r="D149" s="12"/>
      <c r="E149" s="12"/>
      <c r="F149" s="82" t="s">
        <v>198</v>
      </c>
      <c r="G149" s="83">
        <v>716</v>
      </c>
      <c r="H149" s="83" t="s">
        <v>0</v>
      </c>
      <c r="I149" s="84"/>
      <c r="J149" s="84"/>
      <c r="K149" s="198"/>
      <c r="L149" s="84">
        <f>L150</f>
        <v>9660</v>
      </c>
      <c r="M149" s="84">
        <f>M150</f>
        <v>9660</v>
      </c>
      <c r="N149" s="201">
        <f t="shared" si="29"/>
        <v>100</v>
      </c>
      <c r="O149" s="84">
        <f t="shared" si="24"/>
        <v>9660</v>
      </c>
      <c r="P149" s="84">
        <f t="shared" si="25"/>
        <v>9660</v>
      </c>
      <c r="Q149" s="203">
        <f t="shared" si="27"/>
        <v>100</v>
      </c>
    </row>
    <row r="150" spans="2:17" x14ac:dyDescent="0.2">
      <c r="B150" s="72">
        <f t="shared" si="22"/>
        <v>142</v>
      </c>
      <c r="C150" s="12"/>
      <c r="D150" s="12"/>
      <c r="E150" s="12"/>
      <c r="F150" s="52"/>
      <c r="G150" s="12"/>
      <c r="H150" s="60" t="s">
        <v>504</v>
      </c>
      <c r="I150" s="58"/>
      <c r="J150" s="58"/>
      <c r="K150" s="198"/>
      <c r="L150" s="58">
        <v>9660</v>
      </c>
      <c r="M150" s="58">
        <v>9660</v>
      </c>
      <c r="N150" s="201">
        <f t="shared" si="29"/>
        <v>100</v>
      </c>
      <c r="O150" s="58">
        <f>I150+L150</f>
        <v>9660</v>
      </c>
      <c r="P150" s="58">
        <f>J150+M150</f>
        <v>9660</v>
      </c>
      <c r="Q150" s="203">
        <f t="shared" si="27"/>
        <v>100</v>
      </c>
    </row>
    <row r="151" spans="2:17" x14ac:dyDescent="0.2">
      <c r="B151" s="72">
        <f t="shared" si="22"/>
        <v>143</v>
      </c>
      <c r="C151" s="4"/>
      <c r="D151" s="4"/>
      <c r="E151" s="4"/>
      <c r="F151" s="82" t="s">
        <v>198</v>
      </c>
      <c r="G151" s="83">
        <v>717</v>
      </c>
      <c r="H151" s="83" t="s">
        <v>193</v>
      </c>
      <c r="I151" s="84"/>
      <c r="J151" s="84"/>
      <c r="K151" s="198"/>
      <c r="L151" s="84">
        <f>L152</f>
        <v>32000</v>
      </c>
      <c r="M151" s="84">
        <f>M152</f>
        <v>31136</v>
      </c>
      <c r="N151" s="201">
        <f t="shared" si="29"/>
        <v>97.3</v>
      </c>
      <c r="O151" s="84">
        <f t="shared" ref="O151:O164" si="30">L151+I151</f>
        <v>32000</v>
      </c>
      <c r="P151" s="84">
        <f t="shared" ref="P151:P164" si="31">M151+J151</f>
        <v>31136</v>
      </c>
      <c r="Q151" s="203">
        <f t="shared" si="27"/>
        <v>97.3</v>
      </c>
    </row>
    <row r="152" spans="2:17" x14ac:dyDescent="0.2">
      <c r="B152" s="72">
        <f t="shared" si="22"/>
        <v>144</v>
      </c>
      <c r="C152" s="4"/>
      <c r="D152" s="4"/>
      <c r="E152" s="4"/>
      <c r="F152" s="53"/>
      <c r="G152" s="4"/>
      <c r="H152" s="4" t="s">
        <v>710</v>
      </c>
      <c r="I152" s="23"/>
      <c r="J152" s="23"/>
      <c r="K152" s="198"/>
      <c r="L152" s="23">
        <v>32000</v>
      </c>
      <c r="M152" s="23">
        <v>31136</v>
      </c>
      <c r="N152" s="201">
        <f t="shared" si="29"/>
        <v>97.3</v>
      </c>
      <c r="O152" s="23">
        <f t="shared" si="30"/>
        <v>32000</v>
      </c>
      <c r="P152" s="23">
        <f t="shared" si="31"/>
        <v>31136</v>
      </c>
      <c r="Q152" s="203">
        <f t="shared" ref="Q152:Q183" si="32">P152/O152*100</f>
        <v>97.3</v>
      </c>
    </row>
    <row r="153" spans="2:17" x14ac:dyDescent="0.2">
      <c r="B153" s="72">
        <f t="shared" si="22"/>
        <v>145</v>
      </c>
      <c r="C153" s="11"/>
      <c r="D153" s="11"/>
      <c r="E153" s="11" t="s">
        <v>99</v>
      </c>
      <c r="F153" s="51"/>
      <c r="G153" s="11"/>
      <c r="H153" s="11" t="s">
        <v>64</v>
      </c>
      <c r="I153" s="48">
        <f>I162+I156+I155+I154</f>
        <v>240151</v>
      </c>
      <c r="J153" s="48">
        <f>J162+J156+J155+J154</f>
        <v>239904</v>
      </c>
      <c r="K153" s="198">
        <f t="shared" ref="K153:K162" si="33">J153/I153*100</f>
        <v>99.897148044355419</v>
      </c>
      <c r="L153" s="48">
        <f>L154+L155+L156+L162+L163</f>
        <v>9660</v>
      </c>
      <c r="M153" s="48">
        <f>M154+M155+M156+M162+M163</f>
        <v>9660</v>
      </c>
      <c r="N153" s="201">
        <f t="shared" si="29"/>
        <v>100</v>
      </c>
      <c r="O153" s="48">
        <f t="shared" si="30"/>
        <v>249811</v>
      </c>
      <c r="P153" s="48">
        <f t="shared" si="31"/>
        <v>249564</v>
      </c>
      <c r="Q153" s="203">
        <f t="shared" si="32"/>
        <v>99.901125250689532</v>
      </c>
    </row>
    <row r="154" spans="2:17" x14ac:dyDescent="0.2">
      <c r="B154" s="72">
        <f t="shared" si="22"/>
        <v>146</v>
      </c>
      <c r="C154" s="12"/>
      <c r="D154" s="12"/>
      <c r="E154" s="12"/>
      <c r="F154" s="52" t="s">
        <v>198</v>
      </c>
      <c r="G154" s="12">
        <v>610</v>
      </c>
      <c r="H154" s="12" t="s">
        <v>135</v>
      </c>
      <c r="I154" s="49">
        <f>139740+1000+706</f>
        <v>141446</v>
      </c>
      <c r="J154" s="49">
        <v>141446</v>
      </c>
      <c r="K154" s="198">
        <f t="shared" si="33"/>
        <v>100</v>
      </c>
      <c r="L154" s="49"/>
      <c r="M154" s="49"/>
      <c r="N154" s="201"/>
      <c r="O154" s="49">
        <f t="shared" si="30"/>
        <v>141446</v>
      </c>
      <c r="P154" s="49">
        <f t="shared" si="31"/>
        <v>141446</v>
      </c>
      <c r="Q154" s="203">
        <f t="shared" si="32"/>
        <v>100</v>
      </c>
    </row>
    <row r="155" spans="2:17" x14ac:dyDescent="0.2">
      <c r="B155" s="72">
        <f t="shared" si="22"/>
        <v>147</v>
      </c>
      <c r="C155" s="12"/>
      <c r="D155" s="12"/>
      <c r="E155" s="12"/>
      <c r="F155" s="52" t="s">
        <v>198</v>
      </c>
      <c r="G155" s="12">
        <v>620</v>
      </c>
      <c r="H155" s="12" t="s">
        <v>130</v>
      </c>
      <c r="I155" s="49">
        <f>52450-706</f>
        <v>51744</v>
      </c>
      <c r="J155" s="49">
        <v>51744</v>
      </c>
      <c r="K155" s="198">
        <f t="shared" si="33"/>
        <v>100</v>
      </c>
      <c r="L155" s="49"/>
      <c r="M155" s="49"/>
      <c r="N155" s="201"/>
      <c r="O155" s="49">
        <f t="shared" si="30"/>
        <v>51744</v>
      </c>
      <c r="P155" s="49">
        <f t="shared" si="31"/>
        <v>51744</v>
      </c>
      <c r="Q155" s="203">
        <f t="shared" si="32"/>
        <v>100</v>
      </c>
    </row>
    <row r="156" spans="2:17" x14ac:dyDescent="0.2">
      <c r="B156" s="72">
        <f t="shared" si="22"/>
        <v>148</v>
      </c>
      <c r="C156" s="12"/>
      <c r="D156" s="12"/>
      <c r="E156" s="12"/>
      <c r="F156" s="52" t="s">
        <v>198</v>
      </c>
      <c r="G156" s="12">
        <v>630</v>
      </c>
      <c r="H156" s="12" t="s">
        <v>127</v>
      </c>
      <c r="I156" s="49">
        <f>I161+I159+I158+I157+I160</f>
        <v>46461</v>
      </c>
      <c r="J156" s="49">
        <f>J161+J159+J158+J157+J160</f>
        <v>46211</v>
      </c>
      <c r="K156" s="198">
        <f t="shared" si="33"/>
        <v>99.461914293708702</v>
      </c>
      <c r="L156" s="49">
        <v>0</v>
      </c>
      <c r="M156" s="49"/>
      <c r="N156" s="201"/>
      <c r="O156" s="49">
        <f t="shared" si="30"/>
        <v>46461</v>
      </c>
      <c r="P156" s="49">
        <f t="shared" si="31"/>
        <v>46211</v>
      </c>
      <c r="Q156" s="203">
        <f t="shared" si="32"/>
        <v>99.461914293708702</v>
      </c>
    </row>
    <row r="157" spans="2:17" x14ac:dyDescent="0.2">
      <c r="B157" s="72">
        <f t="shared" si="22"/>
        <v>149</v>
      </c>
      <c r="C157" s="4"/>
      <c r="D157" s="4"/>
      <c r="E157" s="4"/>
      <c r="F157" s="53" t="s">
        <v>198</v>
      </c>
      <c r="G157" s="4">
        <v>632</v>
      </c>
      <c r="H157" s="4" t="s">
        <v>138</v>
      </c>
      <c r="I157" s="23">
        <f>21670+5330</f>
        <v>27000</v>
      </c>
      <c r="J157" s="23">
        <v>26986</v>
      </c>
      <c r="K157" s="198">
        <f t="shared" si="33"/>
        <v>99.94814814814815</v>
      </c>
      <c r="L157" s="23"/>
      <c r="M157" s="23"/>
      <c r="N157" s="201"/>
      <c r="O157" s="23">
        <f t="shared" si="30"/>
        <v>27000</v>
      </c>
      <c r="P157" s="23">
        <f t="shared" si="31"/>
        <v>26986</v>
      </c>
      <c r="Q157" s="203">
        <f t="shared" si="32"/>
        <v>99.94814814814815</v>
      </c>
    </row>
    <row r="158" spans="2:17" x14ac:dyDescent="0.2">
      <c r="B158" s="72">
        <f t="shared" si="22"/>
        <v>150</v>
      </c>
      <c r="C158" s="4"/>
      <c r="D158" s="4"/>
      <c r="E158" s="4"/>
      <c r="F158" s="53" t="s">
        <v>198</v>
      </c>
      <c r="G158" s="4">
        <v>633</v>
      </c>
      <c r="H158" s="4" t="s">
        <v>131</v>
      </c>
      <c r="I158" s="23">
        <f>8483+2128+380</f>
        <v>10991</v>
      </c>
      <c r="J158" s="23">
        <v>10755</v>
      </c>
      <c r="K158" s="198">
        <f t="shared" si="33"/>
        <v>97.852788645255202</v>
      </c>
      <c r="L158" s="23"/>
      <c r="M158" s="23"/>
      <c r="N158" s="201"/>
      <c r="O158" s="23">
        <f t="shared" si="30"/>
        <v>10991</v>
      </c>
      <c r="P158" s="23">
        <f t="shared" si="31"/>
        <v>10755</v>
      </c>
      <c r="Q158" s="203">
        <f t="shared" si="32"/>
        <v>97.852788645255202</v>
      </c>
    </row>
    <row r="159" spans="2:17" x14ac:dyDescent="0.2">
      <c r="B159" s="72">
        <f t="shared" si="22"/>
        <v>151</v>
      </c>
      <c r="C159" s="4"/>
      <c r="D159" s="4"/>
      <c r="E159" s="4"/>
      <c r="F159" s="53" t="s">
        <v>198</v>
      </c>
      <c r="G159" s="4">
        <v>635</v>
      </c>
      <c r="H159" s="4" t="s">
        <v>137</v>
      </c>
      <c r="I159" s="23">
        <f>150+880</f>
        <v>1030</v>
      </c>
      <c r="J159" s="23">
        <v>1030</v>
      </c>
      <c r="K159" s="198">
        <f t="shared" si="33"/>
        <v>100</v>
      </c>
      <c r="L159" s="23"/>
      <c r="M159" s="23"/>
      <c r="N159" s="201"/>
      <c r="O159" s="23">
        <f t="shared" si="30"/>
        <v>1030</v>
      </c>
      <c r="P159" s="23">
        <f t="shared" si="31"/>
        <v>1030</v>
      </c>
      <c r="Q159" s="203">
        <f t="shared" si="32"/>
        <v>100</v>
      </c>
    </row>
    <row r="160" spans="2:17" x14ac:dyDescent="0.2">
      <c r="B160" s="72">
        <f t="shared" si="22"/>
        <v>152</v>
      </c>
      <c r="C160" s="4"/>
      <c r="D160" s="4"/>
      <c r="E160" s="4"/>
      <c r="F160" s="130" t="s">
        <v>198</v>
      </c>
      <c r="G160" s="131">
        <v>635</v>
      </c>
      <c r="H160" s="131" t="s">
        <v>557</v>
      </c>
      <c r="I160" s="129">
        <v>2000</v>
      </c>
      <c r="J160" s="129">
        <v>2000</v>
      </c>
      <c r="K160" s="198">
        <f t="shared" si="33"/>
        <v>100</v>
      </c>
      <c r="L160" s="129"/>
      <c r="M160" s="129"/>
      <c r="N160" s="201"/>
      <c r="O160" s="129">
        <f t="shared" si="30"/>
        <v>2000</v>
      </c>
      <c r="P160" s="129">
        <f t="shared" si="31"/>
        <v>2000</v>
      </c>
      <c r="Q160" s="203">
        <f t="shared" si="32"/>
        <v>100</v>
      </c>
    </row>
    <row r="161" spans="2:17" x14ac:dyDescent="0.2">
      <c r="B161" s="72">
        <f t="shared" si="22"/>
        <v>153</v>
      </c>
      <c r="C161" s="4"/>
      <c r="D161" s="4"/>
      <c r="E161" s="4"/>
      <c r="F161" s="53" t="s">
        <v>198</v>
      </c>
      <c r="G161" s="4">
        <v>637</v>
      </c>
      <c r="H161" s="4" t="s">
        <v>128</v>
      </c>
      <c r="I161" s="23">
        <v>5440</v>
      </c>
      <c r="J161" s="23">
        <v>5440</v>
      </c>
      <c r="K161" s="198">
        <f t="shared" si="33"/>
        <v>100</v>
      </c>
      <c r="L161" s="23"/>
      <c r="M161" s="23"/>
      <c r="N161" s="201"/>
      <c r="O161" s="23">
        <f t="shared" si="30"/>
        <v>5440</v>
      </c>
      <c r="P161" s="23">
        <f t="shared" si="31"/>
        <v>5440</v>
      </c>
      <c r="Q161" s="203">
        <f t="shared" si="32"/>
        <v>100</v>
      </c>
    </row>
    <row r="162" spans="2:17" x14ac:dyDescent="0.2">
      <c r="B162" s="72">
        <f t="shared" si="22"/>
        <v>154</v>
      </c>
      <c r="C162" s="12"/>
      <c r="D162" s="12"/>
      <c r="E162" s="12"/>
      <c r="F162" s="52" t="s">
        <v>198</v>
      </c>
      <c r="G162" s="12">
        <v>640</v>
      </c>
      <c r="H162" s="12" t="s">
        <v>134</v>
      </c>
      <c r="I162" s="49">
        <f>1500-1000</f>
        <v>500</v>
      </c>
      <c r="J162" s="49">
        <v>503</v>
      </c>
      <c r="K162" s="198">
        <f t="shared" si="33"/>
        <v>100.6</v>
      </c>
      <c r="L162" s="49"/>
      <c r="M162" s="49"/>
      <c r="N162" s="201"/>
      <c r="O162" s="49">
        <f t="shared" si="30"/>
        <v>500</v>
      </c>
      <c r="P162" s="49">
        <f t="shared" si="31"/>
        <v>503</v>
      </c>
      <c r="Q162" s="203">
        <f t="shared" si="32"/>
        <v>100.6</v>
      </c>
    </row>
    <row r="163" spans="2:17" x14ac:dyDescent="0.2">
      <c r="B163" s="72">
        <f t="shared" si="22"/>
        <v>155</v>
      </c>
      <c r="C163" s="12"/>
      <c r="D163" s="12"/>
      <c r="E163" s="12"/>
      <c r="F163" s="52" t="s">
        <v>198</v>
      </c>
      <c r="G163" s="12">
        <v>710</v>
      </c>
      <c r="H163" s="12" t="s">
        <v>183</v>
      </c>
      <c r="I163" s="49">
        <v>0</v>
      </c>
      <c r="J163" s="49"/>
      <c r="K163" s="198"/>
      <c r="L163" s="49">
        <f>L164</f>
        <v>9660</v>
      </c>
      <c r="M163" s="49">
        <f>M164</f>
        <v>9660</v>
      </c>
      <c r="N163" s="201">
        <f t="shared" ref="N163:N177" si="34">M163/L163*100</f>
        <v>100</v>
      </c>
      <c r="O163" s="49">
        <f t="shared" si="30"/>
        <v>9660</v>
      </c>
      <c r="P163" s="49">
        <f t="shared" si="31"/>
        <v>9660</v>
      </c>
      <c r="Q163" s="203">
        <f t="shared" si="32"/>
        <v>100</v>
      </c>
    </row>
    <row r="164" spans="2:17" x14ac:dyDescent="0.2">
      <c r="B164" s="72">
        <f t="shared" si="22"/>
        <v>156</v>
      </c>
      <c r="C164" s="12"/>
      <c r="D164" s="12"/>
      <c r="E164" s="12"/>
      <c r="F164" s="82" t="s">
        <v>198</v>
      </c>
      <c r="G164" s="83">
        <v>716</v>
      </c>
      <c r="H164" s="83" t="s">
        <v>0</v>
      </c>
      <c r="I164" s="84"/>
      <c r="J164" s="84"/>
      <c r="K164" s="198"/>
      <c r="L164" s="84">
        <f>L165</f>
        <v>9660</v>
      </c>
      <c r="M164" s="84">
        <f>M165</f>
        <v>9660</v>
      </c>
      <c r="N164" s="201">
        <f t="shared" si="34"/>
        <v>100</v>
      </c>
      <c r="O164" s="84">
        <f t="shared" si="30"/>
        <v>9660</v>
      </c>
      <c r="P164" s="84">
        <f t="shared" si="31"/>
        <v>9660</v>
      </c>
      <c r="Q164" s="203">
        <f t="shared" si="32"/>
        <v>100</v>
      </c>
    </row>
    <row r="165" spans="2:17" x14ac:dyDescent="0.2">
      <c r="B165" s="72">
        <f t="shared" si="22"/>
        <v>157</v>
      </c>
      <c r="C165" s="12"/>
      <c r="D165" s="12"/>
      <c r="E165" s="12"/>
      <c r="F165" s="52"/>
      <c r="G165" s="12"/>
      <c r="H165" s="60" t="s">
        <v>504</v>
      </c>
      <c r="I165" s="58"/>
      <c r="J165" s="58"/>
      <c r="K165" s="198"/>
      <c r="L165" s="58">
        <v>9660</v>
      </c>
      <c r="M165" s="58">
        <v>9660</v>
      </c>
      <c r="N165" s="201">
        <f t="shared" si="34"/>
        <v>100</v>
      </c>
      <c r="O165" s="58">
        <f>I165+L165</f>
        <v>9660</v>
      </c>
      <c r="P165" s="58">
        <f>J165+M165</f>
        <v>9660</v>
      </c>
      <c r="Q165" s="203">
        <f t="shared" si="32"/>
        <v>100</v>
      </c>
    </row>
    <row r="166" spans="2:17" x14ac:dyDescent="0.2">
      <c r="B166" s="72">
        <f t="shared" si="22"/>
        <v>158</v>
      </c>
      <c r="C166" s="11"/>
      <c r="D166" s="11"/>
      <c r="E166" s="11" t="s">
        <v>102</v>
      </c>
      <c r="F166" s="51"/>
      <c r="G166" s="11"/>
      <c r="H166" s="11" t="s">
        <v>65</v>
      </c>
      <c r="I166" s="48">
        <f>I169+I168+I167+I174</f>
        <v>147952</v>
      </c>
      <c r="J166" s="48">
        <f>J169+J168+J167+J174</f>
        <v>145765</v>
      </c>
      <c r="K166" s="198">
        <f t="shared" ref="K166:K174" si="35">J166/I166*100</f>
        <v>98.521817886882232</v>
      </c>
      <c r="L166" s="48">
        <f>L169+L168+L167+L175</f>
        <v>5500</v>
      </c>
      <c r="M166" s="48">
        <f>M169+M168+M167+M175</f>
        <v>5500</v>
      </c>
      <c r="N166" s="201">
        <f t="shared" si="34"/>
        <v>100</v>
      </c>
      <c r="O166" s="48">
        <f t="shared" ref="O166:O176" si="36">L166+I166</f>
        <v>153452</v>
      </c>
      <c r="P166" s="48">
        <f t="shared" ref="P166:P176" si="37">M166+J166</f>
        <v>151265</v>
      </c>
      <c r="Q166" s="203">
        <f t="shared" si="32"/>
        <v>98.574798634100574</v>
      </c>
    </row>
    <row r="167" spans="2:17" x14ac:dyDescent="0.2">
      <c r="B167" s="72">
        <f t="shared" si="22"/>
        <v>159</v>
      </c>
      <c r="C167" s="12"/>
      <c r="D167" s="12"/>
      <c r="E167" s="12"/>
      <c r="F167" s="52" t="s">
        <v>198</v>
      </c>
      <c r="G167" s="12">
        <v>610</v>
      </c>
      <c r="H167" s="12" t="s">
        <v>135</v>
      </c>
      <c r="I167" s="49">
        <f>89106+82</f>
        <v>89188</v>
      </c>
      <c r="J167" s="49">
        <v>89188</v>
      </c>
      <c r="K167" s="198">
        <f t="shared" si="35"/>
        <v>100</v>
      </c>
      <c r="L167" s="49"/>
      <c r="M167" s="49"/>
      <c r="N167" s="201"/>
      <c r="O167" s="49">
        <f t="shared" si="36"/>
        <v>89188</v>
      </c>
      <c r="P167" s="49">
        <f t="shared" si="37"/>
        <v>89188</v>
      </c>
      <c r="Q167" s="203">
        <f t="shared" si="32"/>
        <v>100</v>
      </c>
    </row>
    <row r="168" spans="2:17" x14ac:dyDescent="0.2">
      <c r="B168" s="72">
        <f t="shared" si="22"/>
        <v>160</v>
      </c>
      <c r="C168" s="12"/>
      <c r="D168" s="12"/>
      <c r="E168" s="12"/>
      <c r="F168" s="52" t="s">
        <v>198</v>
      </c>
      <c r="G168" s="12">
        <v>620</v>
      </c>
      <c r="H168" s="12" t="s">
        <v>130</v>
      </c>
      <c r="I168" s="49">
        <f>33091-82</f>
        <v>33009</v>
      </c>
      <c r="J168" s="49">
        <v>33009</v>
      </c>
      <c r="K168" s="198">
        <f t="shared" si="35"/>
        <v>100</v>
      </c>
      <c r="L168" s="49"/>
      <c r="M168" s="49"/>
      <c r="N168" s="201"/>
      <c r="O168" s="49">
        <f t="shared" si="36"/>
        <v>33009</v>
      </c>
      <c r="P168" s="49">
        <f t="shared" si="37"/>
        <v>33009</v>
      </c>
      <c r="Q168" s="203">
        <f t="shared" si="32"/>
        <v>100</v>
      </c>
    </row>
    <row r="169" spans="2:17" x14ac:dyDescent="0.2">
      <c r="B169" s="72">
        <f t="shared" si="22"/>
        <v>161</v>
      </c>
      <c r="C169" s="12"/>
      <c r="D169" s="12"/>
      <c r="E169" s="12"/>
      <c r="F169" s="52" t="s">
        <v>198</v>
      </c>
      <c r="G169" s="12">
        <v>630</v>
      </c>
      <c r="H169" s="12" t="s">
        <v>127</v>
      </c>
      <c r="I169" s="49">
        <f>I173+I172+I171+I170</f>
        <v>25518</v>
      </c>
      <c r="J169" s="49">
        <f>J173+J172+J171+J170</f>
        <v>23329</v>
      </c>
      <c r="K169" s="198">
        <f t="shared" si="35"/>
        <v>91.421741515792775</v>
      </c>
      <c r="L169" s="49">
        <v>0</v>
      </c>
      <c r="M169" s="49"/>
      <c r="N169" s="201"/>
      <c r="O169" s="49">
        <f t="shared" si="36"/>
        <v>25518</v>
      </c>
      <c r="P169" s="49">
        <f t="shared" si="37"/>
        <v>23329</v>
      </c>
      <c r="Q169" s="203">
        <f t="shared" si="32"/>
        <v>91.421741515792775</v>
      </c>
    </row>
    <row r="170" spans="2:17" x14ac:dyDescent="0.2">
      <c r="B170" s="72">
        <f t="shared" si="22"/>
        <v>162</v>
      </c>
      <c r="C170" s="4"/>
      <c r="D170" s="4"/>
      <c r="E170" s="4"/>
      <c r="F170" s="53" t="s">
        <v>198</v>
      </c>
      <c r="G170" s="4">
        <v>632</v>
      </c>
      <c r="H170" s="4" t="s">
        <v>138</v>
      </c>
      <c r="I170" s="23">
        <f>13500-597+780</f>
        <v>13683</v>
      </c>
      <c r="J170" s="23">
        <v>13684</v>
      </c>
      <c r="K170" s="198">
        <f t="shared" si="35"/>
        <v>100.0073083388146</v>
      </c>
      <c r="L170" s="23"/>
      <c r="M170" s="23"/>
      <c r="N170" s="201"/>
      <c r="O170" s="23">
        <f t="shared" si="36"/>
        <v>13683</v>
      </c>
      <c r="P170" s="23">
        <f t="shared" si="37"/>
        <v>13684</v>
      </c>
      <c r="Q170" s="203">
        <f t="shared" si="32"/>
        <v>100.0073083388146</v>
      </c>
    </row>
    <row r="171" spans="2:17" x14ac:dyDescent="0.2">
      <c r="B171" s="72">
        <f t="shared" si="22"/>
        <v>163</v>
      </c>
      <c r="C171" s="4"/>
      <c r="D171" s="4"/>
      <c r="E171" s="4"/>
      <c r="F171" s="53" t="s">
        <v>198</v>
      </c>
      <c r="G171" s="4">
        <v>633</v>
      </c>
      <c r="H171" s="4" t="s">
        <v>131</v>
      </c>
      <c r="I171" s="23">
        <f>7661+1264</f>
        <v>8925</v>
      </c>
      <c r="J171" s="23">
        <v>7054</v>
      </c>
      <c r="K171" s="198">
        <f t="shared" si="35"/>
        <v>79.036414565826334</v>
      </c>
      <c r="L171" s="23"/>
      <c r="M171" s="23"/>
      <c r="N171" s="201"/>
      <c r="O171" s="23">
        <f t="shared" si="36"/>
        <v>8925</v>
      </c>
      <c r="P171" s="23">
        <f t="shared" si="37"/>
        <v>7054</v>
      </c>
      <c r="Q171" s="203">
        <f t="shared" si="32"/>
        <v>79.036414565826334</v>
      </c>
    </row>
    <row r="172" spans="2:17" x14ac:dyDescent="0.2">
      <c r="B172" s="72">
        <f t="shared" si="22"/>
        <v>164</v>
      </c>
      <c r="C172" s="4"/>
      <c r="D172" s="4"/>
      <c r="E172" s="4"/>
      <c r="F172" s="53" t="s">
        <v>198</v>
      </c>
      <c r="G172" s="4">
        <v>635</v>
      </c>
      <c r="H172" s="4" t="s">
        <v>137</v>
      </c>
      <c r="I172" s="23">
        <v>150</v>
      </c>
      <c r="J172" s="23">
        <v>86</v>
      </c>
      <c r="K172" s="198">
        <f t="shared" si="35"/>
        <v>57.333333333333336</v>
      </c>
      <c r="L172" s="23"/>
      <c r="M172" s="23"/>
      <c r="N172" s="201"/>
      <c r="O172" s="23">
        <f t="shared" si="36"/>
        <v>150</v>
      </c>
      <c r="P172" s="23">
        <f t="shared" si="37"/>
        <v>86</v>
      </c>
      <c r="Q172" s="203">
        <f t="shared" si="32"/>
        <v>57.333333333333336</v>
      </c>
    </row>
    <row r="173" spans="2:17" x14ac:dyDescent="0.2">
      <c r="B173" s="72">
        <f t="shared" si="22"/>
        <v>165</v>
      </c>
      <c r="C173" s="4"/>
      <c r="D173" s="4"/>
      <c r="E173" s="4"/>
      <c r="F173" s="53" t="s">
        <v>198</v>
      </c>
      <c r="G173" s="4">
        <v>637</v>
      </c>
      <c r="H173" s="4" t="s">
        <v>128</v>
      </c>
      <c r="I173" s="23">
        <v>2760</v>
      </c>
      <c r="J173" s="23">
        <v>2505</v>
      </c>
      <c r="K173" s="198">
        <f t="shared" si="35"/>
        <v>90.760869565217391</v>
      </c>
      <c r="L173" s="23"/>
      <c r="M173" s="23"/>
      <c r="N173" s="201"/>
      <c r="O173" s="23">
        <f t="shared" si="36"/>
        <v>2760</v>
      </c>
      <c r="P173" s="23">
        <f t="shared" si="37"/>
        <v>2505</v>
      </c>
      <c r="Q173" s="203">
        <f t="shared" si="32"/>
        <v>90.760869565217391</v>
      </c>
    </row>
    <row r="174" spans="2:17" x14ac:dyDescent="0.2">
      <c r="B174" s="72">
        <f t="shared" si="22"/>
        <v>166</v>
      </c>
      <c r="C174" s="4"/>
      <c r="D174" s="4"/>
      <c r="E174" s="4"/>
      <c r="F174" s="52" t="s">
        <v>198</v>
      </c>
      <c r="G174" s="12">
        <v>640</v>
      </c>
      <c r="H174" s="12" t="s">
        <v>134</v>
      </c>
      <c r="I174" s="49">
        <v>237</v>
      </c>
      <c r="J174" s="49">
        <v>239</v>
      </c>
      <c r="K174" s="198">
        <f t="shared" si="35"/>
        <v>100.84388185654008</v>
      </c>
      <c r="L174" s="49"/>
      <c r="M174" s="49"/>
      <c r="N174" s="201"/>
      <c r="O174" s="49">
        <f t="shared" si="36"/>
        <v>237</v>
      </c>
      <c r="P174" s="49">
        <f t="shared" si="37"/>
        <v>239</v>
      </c>
      <c r="Q174" s="203">
        <f t="shared" si="32"/>
        <v>100.84388185654008</v>
      </c>
    </row>
    <row r="175" spans="2:17" x14ac:dyDescent="0.2">
      <c r="B175" s="72">
        <f t="shared" ref="B175:B202" si="38">B174+1</f>
        <v>167</v>
      </c>
      <c r="C175" s="4"/>
      <c r="D175" s="4"/>
      <c r="E175" s="4"/>
      <c r="F175" s="52" t="s">
        <v>198</v>
      </c>
      <c r="G175" s="12">
        <v>710</v>
      </c>
      <c r="H175" s="12" t="s">
        <v>183</v>
      </c>
      <c r="I175" s="49">
        <v>0</v>
      </c>
      <c r="J175" s="49">
        <v>0</v>
      </c>
      <c r="K175" s="198"/>
      <c r="L175" s="49">
        <f>L176</f>
        <v>5500</v>
      </c>
      <c r="M175" s="49">
        <f>M176</f>
        <v>5500</v>
      </c>
      <c r="N175" s="201">
        <f t="shared" si="34"/>
        <v>100</v>
      </c>
      <c r="O175" s="49">
        <f t="shared" si="36"/>
        <v>5500</v>
      </c>
      <c r="P175" s="49">
        <f t="shared" si="37"/>
        <v>5500</v>
      </c>
      <c r="Q175" s="203">
        <f t="shared" si="32"/>
        <v>100</v>
      </c>
    </row>
    <row r="176" spans="2:17" x14ac:dyDescent="0.2">
      <c r="B176" s="72">
        <f t="shared" si="38"/>
        <v>168</v>
      </c>
      <c r="C176" s="4"/>
      <c r="D176" s="4"/>
      <c r="E176" s="4"/>
      <c r="F176" s="82" t="s">
        <v>198</v>
      </c>
      <c r="G176" s="83">
        <v>717</v>
      </c>
      <c r="H176" s="83" t="s">
        <v>193</v>
      </c>
      <c r="I176" s="84"/>
      <c r="J176" s="84"/>
      <c r="K176" s="198"/>
      <c r="L176" s="84">
        <f>L177</f>
        <v>5500</v>
      </c>
      <c r="M176" s="84">
        <f>M177</f>
        <v>5500</v>
      </c>
      <c r="N176" s="201">
        <f t="shared" si="34"/>
        <v>100</v>
      </c>
      <c r="O176" s="84">
        <f t="shared" si="36"/>
        <v>5500</v>
      </c>
      <c r="P176" s="84">
        <f t="shared" si="37"/>
        <v>5500</v>
      </c>
      <c r="Q176" s="203">
        <f t="shared" si="32"/>
        <v>100</v>
      </c>
    </row>
    <row r="177" spans="2:17" x14ac:dyDescent="0.2">
      <c r="B177" s="72">
        <f t="shared" si="38"/>
        <v>169</v>
      </c>
      <c r="C177" s="4"/>
      <c r="D177" s="4"/>
      <c r="E177" s="4"/>
      <c r="F177" s="53"/>
      <c r="G177" s="4"/>
      <c r="H177" s="140" t="s">
        <v>683</v>
      </c>
      <c r="I177" s="127"/>
      <c r="J177" s="127"/>
      <c r="K177" s="198"/>
      <c r="L177" s="127">
        <v>5500</v>
      </c>
      <c r="M177" s="127">
        <v>5500</v>
      </c>
      <c r="N177" s="198">
        <f t="shared" si="34"/>
        <v>100</v>
      </c>
      <c r="O177" s="127">
        <f>I177+L177</f>
        <v>5500</v>
      </c>
      <c r="P177" s="127">
        <f>J177+M177</f>
        <v>5500</v>
      </c>
      <c r="Q177" s="203">
        <f t="shared" si="32"/>
        <v>100</v>
      </c>
    </row>
    <row r="178" spans="2:17" x14ac:dyDescent="0.2">
      <c r="B178" s="72">
        <f t="shared" si="38"/>
        <v>170</v>
      </c>
      <c r="C178" s="11"/>
      <c r="D178" s="11"/>
      <c r="E178" s="11" t="s">
        <v>95</v>
      </c>
      <c r="F178" s="51"/>
      <c r="G178" s="11"/>
      <c r="H178" s="11" t="s">
        <v>96</v>
      </c>
      <c r="I178" s="48">
        <f>I181+I180+I179</f>
        <v>73235</v>
      </c>
      <c r="J178" s="48">
        <f>J181+J180+J179</f>
        <v>73233</v>
      </c>
      <c r="K178" s="198">
        <f t="shared" ref="K178:K183" si="39">J178/I178*100</f>
        <v>99.997269065337619</v>
      </c>
      <c r="L178" s="48">
        <v>0</v>
      </c>
      <c r="M178" s="48">
        <v>0</v>
      </c>
      <c r="N178" s="201"/>
      <c r="O178" s="48">
        <f t="shared" ref="O178:O190" si="40">L178+I178</f>
        <v>73235</v>
      </c>
      <c r="P178" s="48">
        <f t="shared" ref="P178:P190" si="41">M178+J178</f>
        <v>73233</v>
      </c>
      <c r="Q178" s="203">
        <f t="shared" si="32"/>
        <v>99.997269065337619</v>
      </c>
    </row>
    <row r="179" spans="2:17" x14ac:dyDescent="0.2">
      <c r="B179" s="72">
        <f t="shared" si="38"/>
        <v>171</v>
      </c>
      <c r="C179" s="12"/>
      <c r="D179" s="12"/>
      <c r="E179" s="12"/>
      <c r="F179" s="52" t="s">
        <v>198</v>
      </c>
      <c r="G179" s="12">
        <v>610</v>
      </c>
      <c r="H179" s="12" t="s">
        <v>135</v>
      </c>
      <c r="I179" s="49">
        <f>44478+677</f>
        <v>45155</v>
      </c>
      <c r="J179" s="49">
        <v>45155</v>
      </c>
      <c r="K179" s="198">
        <f t="shared" si="39"/>
        <v>100</v>
      </c>
      <c r="L179" s="49"/>
      <c r="M179" s="49"/>
      <c r="N179" s="201"/>
      <c r="O179" s="49">
        <f t="shared" si="40"/>
        <v>45155</v>
      </c>
      <c r="P179" s="49">
        <f t="shared" si="41"/>
        <v>45155</v>
      </c>
      <c r="Q179" s="203">
        <f t="shared" si="32"/>
        <v>100</v>
      </c>
    </row>
    <row r="180" spans="2:17" x14ac:dyDescent="0.2">
      <c r="B180" s="72">
        <f t="shared" si="38"/>
        <v>172</v>
      </c>
      <c r="C180" s="12"/>
      <c r="D180" s="12"/>
      <c r="E180" s="12"/>
      <c r="F180" s="52" t="s">
        <v>198</v>
      </c>
      <c r="G180" s="12">
        <v>620</v>
      </c>
      <c r="H180" s="12" t="s">
        <v>130</v>
      </c>
      <c r="I180" s="49">
        <f>16512-677</f>
        <v>15835</v>
      </c>
      <c r="J180" s="49">
        <v>15835</v>
      </c>
      <c r="K180" s="198">
        <f t="shared" si="39"/>
        <v>100</v>
      </c>
      <c r="L180" s="49"/>
      <c r="M180" s="49"/>
      <c r="N180" s="201"/>
      <c r="O180" s="49">
        <f t="shared" si="40"/>
        <v>15835</v>
      </c>
      <c r="P180" s="49">
        <f t="shared" si="41"/>
        <v>15835</v>
      </c>
      <c r="Q180" s="203">
        <f t="shared" si="32"/>
        <v>100</v>
      </c>
    </row>
    <row r="181" spans="2:17" x14ac:dyDescent="0.2">
      <c r="B181" s="72">
        <f t="shared" si="38"/>
        <v>173</v>
      </c>
      <c r="C181" s="12"/>
      <c r="D181" s="12"/>
      <c r="E181" s="12"/>
      <c r="F181" s="52" t="s">
        <v>198</v>
      </c>
      <c r="G181" s="12">
        <v>630</v>
      </c>
      <c r="H181" s="12" t="s">
        <v>127</v>
      </c>
      <c r="I181" s="49">
        <f>I184+I183+I182</f>
        <v>12245</v>
      </c>
      <c r="J181" s="49">
        <f>J184+J183+J182</f>
        <v>12243</v>
      </c>
      <c r="K181" s="198">
        <f t="shared" si="39"/>
        <v>99.983666802776639</v>
      </c>
      <c r="L181" s="49">
        <v>0</v>
      </c>
      <c r="M181" s="49">
        <v>0</v>
      </c>
      <c r="N181" s="201"/>
      <c r="O181" s="49">
        <f t="shared" si="40"/>
        <v>12245</v>
      </c>
      <c r="P181" s="49">
        <f t="shared" si="41"/>
        <v>12243</v>
      </c>
      <c r="Q181" s="203">
        <f t="shared" si="32"/>
        <v>99.983666802776639</v>
      </c>
    </row>
    <row r="182" spans="2:17" x14ac:dyDescent="0.2">
      <c r="B182" s="72">
        <f t="shared" si="38"/>
        <v>174</v>
      </c>
      <c r="C182" s="4"/>
      <c r="D182" s="4"/>
      <c r="E182" s="4"/>
      <c r="F182" s="53" t="s">
        <v>198</v>
      </c>
      <c r="G182" s="4">
        <v>632</v>
      </c>
      <c r="H182" s="4" t="s">
        <v>138</v>
      </c>
      <c r="I182" s="23">
        <f>6240+1000</f>
        <v>7240</v>
      </c>
      <c r="J182" s="23">
        <v>7240</v>
      </c>
      <c r="K182" s="198">
        <f t="shared" si="39"/>
        <v>100</v>
      </c>
      <c r="L182" s="23"/>
      <c r="M182" s="23"/>
      <c r="N182" s="201"/>
      <c r="O182" s="23">
        <f t="shared" si="40"/>
        <v>7240</v>
      </c>
      <c r="P182" s="23">
        <f t="shared" si="41"/>
        <v>7240</v>
      </c>
      <c r="Q182" s="203">
        <f t="shared" si="32"/>
        <v>100</v>
      </c>
    </row>
    <row r="183" spans="2:17" x14ac:dyDescent="0.2">
      <c r="B183" s="72">
        <f t="shared" si="38"/>
        <v>175</v>
      </c>
      <c r="C183" s="4"/>
      <c r="D183" s="4"/>
      <c r="E183" s="4"/>
      <c r="F183" s="53" t="s">
        <v>198</v>
      </c>
      <c r="G183" s="4">
        <v>633</v>
      </c>
      <c r="H183" s="4" t="s">
        <v>131</v>
      </c>
      <c r="I183" s="23">
        <f>3831+656-1152-318</f>
        <v>3017</v>
      </c>
      <c r="J183" s="23">
        <v>3017</v>
      </c>
      <c r="K183" s="198">
        <f t="shared" si="39"/>
        <v>100</v>
      </c>
      <c r="L183" s="23"/>
      <c r="M183" s="23"/>
      <c r="N183" s="201"/>
      <c r="O183" s="23">
        <f t="shared" si="40"/>
        <v>3017</v>
      </c>
      <c r="P183" s="23">
        <f t="shared" si="41"/>
        <v>3017</v>
      </c>
      <c r="Q183" s="203">
        <f t="shared" si="32"/>
        <v>100</v>
      </c>
    </row>
    <row r="184" spans="2:17" x14ac:dyDescent="0.2">
      <c r="B184" s="72">
        <f t="shared" si="38"/>
        <v>176</v>
      </c>
      <c r="C184" s="4"/>
      <c r="D184" s="4"/>
      <c r="E184" s="4"/>
      <c r="F184" s="53" t="s">
        <v>198</v>
      </c>
      <c r="G184" s="4">
        <v>637</v>
      </c>
      <c r="H184" s="4" t="s">
        <v>128</v>
      </c>
      <c r="I184" s="23">
        <f>1670+318</f>
        <v>1988</v>
      </c>
      <c r="J184" s="23">
        <v>1986</v>
      </c>
      <c r="K184" s="198">
        <f t="shared" ref="K184:K203" si="42">J184/I184*100</f>
        <v>99.899396378269628</v>
      </c>
      <c r="L184" s="23"/>
      <c r="M184" s="23"/>
      <c r="N184" s="201"/>
      <c r="O184" s="23">
        <f t="shared" si="40"/>
        <v>1988</v>
      </c>
      <c r="P184" s="23">
        <f t="shared" si="41"/>
        <v>1986</v>
      </c>
      <c r="Q184" s="203">
        <f t="shared" ref="Q184:Q222" si="43">P184/O184*100</f>
        <v>99.899396378269628</v>
      </c>
    </row>
    <row r="185" spans="2:17" x14ac:dyDescent="0.2">
      <c r="B185" s="72">
        <f t="shared" si="38"/>
        <v>177</v>
      </c>
      <c r="C185" s="11"/>
      <c r="D185" s="11"/>
      <c r="E185" s="11" t="s">
        <v>88</v>
      </c>
      <c r="F185" s="51"/>
      <c r="G185" s="11"/>
      <c r="H185" s="11" t="s">
        <v>208</v>
      </c>
      <c r="I185" s="48">
        <f>I188+I187+I186</f>
        <v>111913</v>
      </c>
      <c r="J185" s="48">
        <f>J188+J187+J186</f>
        <v>111550</v>
      </c>
      <c r="K185" s="198">
        <f t="shared" si="42"/>
        <v>99.675640899627396</v>
      </c>
      <c r="L185" s="48">
        <f>L188+L187+L186</f>
        <v>0</v>
      </c>
      <c r="M185" s="48">
        <f>M188+M187+M186</f>
        <v>0</v>
      </c>
      <c r="N185" s="201"/>
      <c r="O185" s="48">
        <f t="shared" si="40"/>
        <v>111913</v>
      </c>
      <c r="P185" s="48">
        <f t="shared" si="41"/>
        <v>111550</v>
      </c>
      <c r="Q185" s="203">
        <f t="shared" si="43"/>
        <v>99.675640899627396</v>
      </c>
    </row>
    <row r="186" spans="2:17" x14ac:dyDescent="0.2">
      <c r="B186" s="72">
        <f t="shared" si="38"/>
        <v>178</v>
      </c>
      <c r="C186" s="12"/>
      <c r="D186" s="12"/>
      <c r="E186" s="12"/>
      <c r="F186" s="52" t="s">
        <v>198</v>
      </c>
      <c r="G186" s="12">
        <v>610</v>
      </c>
      <c r="H186" s="12" t="s">
        <v>135</v>
      </c>
      <c r="I186" s="49">
        <f>60370+165</f>
        <v>60535</v>
      </c>
      <c r="J186" s="49">
        <v>60535</v>
      </c>
      <c r="K186" s="198">
        <f t="shared" si="42"/>
        <v>100</v>
      </c>
      <c r="L186" s="49"/>
      <c r="M186" s="49"/>
      <c r="N186" s="201"/>
      <c r="O186" s="49">
        <f t="shared" si="40"/>
        <v>60535</v>
      </c>
      <c r="P186" s="49">
        <f t="shared" si="41"/>
        <v>60535</v>
      </c>
      <c r="Q186" s="203">
        <f t="shared" si="43"/>
        <v>100</v>
      </c>
    </row>
    <row r="187" spans="2:17" x14ac:dyDescent="0.2">
      <c r="B187" s="72">
        <f t="shared" si="38"/>
        <v>179</v>
      </c>
      <c r="C187" s="12"/>
      <c r="D187" s="12"/>
      <c r="E187" s="12"/>
      <c r="F187" s="52" t="s">
        <v>198</v>
      </c>
      <c r="G187" s="12">
        <v>620</v>
      </c>
      <c r="H187" s="12" t="s">
        <v>130</v>
      </c>
      <c r="I187" s="49">
        <f>22415-165</f>
        <v>22250</v>
      </c>
      <c r="J187" s="49">
        <v>22250</v>
      </c>
      <c r="K187" s="198">
        <f t="shared" si="42"/>
        <v>100</v>
      </c>
      <c r="L187" s="49"/>
      <c r="M187" s="49"/>
      <c r="N187" s="201"/>
      <c r="O187" s="49">
        <f t="shared" si="40"/>
        <v>22250</v>
      </c>
      <c r="P187" s="49">
        <f t="shared" si="41"/>
        <v>22250</v>
      </c>
      <c r="Q187" s="203">
        <f t="shared" si="43"/>
        <v>100</v>
      </c>
    </row>
    <row r="188" spans="2:17" x14ac:dyDescent="0.2">
      <c r="B188" s="72">
        <f t="shared" si="38"/>
        <v>180</v>
      </c>
      <c r="C188" s="12"/>
      <c r="D188" s="12"/>
      <c r="E188" s="12"/>
      <c r="F188" s="52" t="s">
        <v>198</v>
      </c>
      <c r="G188" s="12">
        <v>630</v>
      </c>
      <c r="H188" s="12" t="s">
        <v>127</v>
      </c>
      <c r="I188" s="49">
        <f>I193+I192+I190+I189+I191</f>
        <v>29128</v>
      </c>
      <c r="J188" s="49">
        <f>J193+J192+J190+J189+J191</f>
        <v>28765</v>
      </c>
      <c r="K188" s="198">
        <f t="shared" si="42"/>
        <v>98.75377643504531</v>
      </c>
      <c r="L188" s="49">
        <f>L193+L192+L190+L189</f>
        <v>0</v>
      </c>
      <c r="M188" s="49">
        <f>M193+M192+M190+M189</f>
        <v>0</v>
      </c>
      <c r="N188" s="201"/>
      <c r="O188" s="49">
        <f t="shared" si="40"/>
        <v>29128</v>
      </c>
      <c r="P188" s="49">
        <f t="shared" si="41"/>
        <v>28765</v>
      </c>
      <c r="Q188" s="203">
        <f t="shared" si="43"/>
        <v>98.75377643504531</v>
      </c>
    </row>
    <row r="189" spans="2:17" x14ac:dyDescent="0.2">
      <c r="B189" s="72">
        <f t="shared" si="38"/>
        <v>181</v>
      </c>
      <c r="C189" s="4"/>
      <c r="D189" s="4"/>
      <c r="E189" s="4"/>
      <c r="F189" s="53" t="s">
        <v>198</v>
      </c>
      <c r="G189" s="4">
        <v>632</v>
      </c>
      <c r="H189" s="4" t="s">
        <v>138</v>
      </c>
      <c r="I189" s="23">
        <f>6370+4620</f>
        <v>10990</v>
      </c>
      <c r="J189" s="23">
        <v>10987</v>
      </c>
      <c r="K189" s="198">
        <f t="shared" si="42"/>
        <v>99.97270245677889</v>
      </c>
      <c r="L189" s="23"/>
      <c r="M189" s="23"/>
      <c r="N189" s="201"/>
      <c r="O189" s="23">
        <f t="shared" si="40"/>
        <v>10990</v>
      </c>
      <c r="P189" s="23">
        <f t="shared" si="41"/>
        <v>10987</v>
      </c>
      <c r="Q189" s="203">
        <f t="shared" si="43"/>
        <v>99.97270245677889</v>
      </c>
    </row>
    <row r="190" spans="2:17" x14ac:dyDescent="0.2">
      <c r="B190" s="72">
        <f t="shared" si="38"/>
        <v>182</v>
      </c>
      <c r="C190" s="4"/>
      <c r="D190" s="4"/>
      <c r="E190" s="4"/>
      <c r="F190" s="53" t="s">
        <v>198</v>
      </c>
      <c r="G190" s="4">
        <v>633</v>
      </c>
      <c r="H190" s="4" t="s">
        <v>131</v>
      </c>
      <c r="I190" s="23">
        <f>10541+672-722</f>
        <v>10491</v>
      </c>
      <c r="J190" s="23">
        <v>10491</v>
      </c>
      <c r="K190" s="198">
        <f t="shared" si="42"/>
        <v>100</v>
      </c>
      <c r="L190" s="23"/>
      <c r="M190" s="23"/>
      <c r="N190" s="201"/>
      <c r="O190" s="23">
        <f t="shared" si="40"/>
        <v>10491</v>
      </c>
      <c r="P190" s="23">
        <f t="shared" si="41"/>
        <v>10491</v>
      </c>
      <c r="Q190" s="203">
        <f t="shared" si="43"/>
        <v>100</v>
      </c>
    </row>
    <row r="191" spans="2:17" x14ac:dyDescent="0.2">
      <c r="B191" s="72">
        <f t="shared" si="38"/>
        <v>183</v>
      </c>
      <c r="C191" s="4"/>
      <c r="D191" s="4"/>
      <c r="E191" s="4"/>
      <c r="F191" s="130" t="s">
        <v>198</v>
      </c>
      <c r="G191" s="131">
        <v>633</v>
      </c>
      <c r="H191" s="131" t="s">
        <v>652</v>
      </c>
      <c r="I191" s="129">
        <v>4500</v>
      </c>
      <c r="J191" s="129">
        <v>4500</v>
      </c>
      <c r="K191" s="198">
        <f t="shared" si="42"/>
        <v>100</v>
      </c>
      <c r="L191" s="129"/>
      <c r="M191" s="129"/>
      <c r="N191" s="201"/>
      <c r="O191" s="129">
        <f>I191+L191</f>
        <v>4500</v>
      </c>
      <c r="P191" s="129">
        <f>J191+M191</f>
        <v>4500</v>
      </c>
      <c r="Q191" s="203">
        <f t="shared" si="43"/>
        <v>100</v>
      </c>
    </row>
    <row r="192" spans="2:17" x14ac:dyDescent="0.2">
      <c r="B192" s="72">
        <f t="shared" si="38"/>
        <v>184</v>
      </c>
      <c r="C192" s="4"/>
      <c r="D192" s="4"/>
      <c r="E192" s="4"/>
      <c r="F192" s="53" t="s">
        <v>198</v>
      </c>
      <c r="G192" s="4">
        <v>635</v>
      </c>
      <c r="H192" s="4" t="s">
        <v>137</v>
      </c>
      <c r="I192" s="23">
        <f>950+17</f>
        <v>967</v>
      </c>
      <c r="J192" s="23">
        <v>967</v>
      </c>
      <c r="K192" s="198">
        <f t="shared" si="42"/>
        <v>100</v>
      </c>
      <c r="L192" s="23"/>
      <c r="M192" s="23"/>
      <c r="N192" s="201"/>
      <c r="O192" s="23">
        <f t="shared" ref="O192:O232" si="44">L192+I192</f>
        <v>967</v>
      </c>
      <c r="P192" s="23">
        <f t="shared" ref="P192:P233" si="45">M192+J192</f>
        <v>967</v>
      </c>
      <c r="Q192" s="203">
        <f t="shared" si="43"/>
        <v>100</v>
      </c>
    </row>
    <row r="193" spans="2:17" x14ac:dyDescent="0.2">
      <c r="B193" s="72">
        <f t="shared" si="38"/>
        <v>185</v>
      </c>
      <c r="C193" s="4"/>
      <c r="D193" s="4"/>
      <c r="E193" s="4"/>
      <c r="F193" s="53" t="s">
        <v>198</v>
      </c>
      <c r="G193" s="4">
        <v>637</v>
      </c>
      <c r="H193" s="4" t="s">
        <v>128</v>
      </c>
      <c r="I193" s="23">
        <v>2180</v>
      </c>
      <c r="J193" s="23">
        <v>1820</v>
      </c>
      <c r="K193" s="198">
        <f t="shared" si="42"/>
        <v>83.486238532110093</v>
      </c>
      <c r="L193" s="23"/>
      <c r="M193" s="23"/>
      <c r="N193" s="201"/>
      <c r="O193" s="23">
        <f t="shared" si="44"/>
        <v>2180</v>
      </c>
      <c r="P193" s="23">
        <f t="shared" si="45"/>
        <v>1820</v>
      </c>
      <c r="Q193" s="203">
        <f t="shared" si="43"/>
        <v>83.486238532110093</v>
      </c>
    </row>
    <row r="194" spans="2:17" x14ac:dyDescent="0.2">
      <c r="B194" s="72">
        <f t="shared" si="38"/>
        <v>186</v>
      </c>
      <c r="C194" s="11"/>
      <c r="D194" s="11"/>
      <c r="E194" s="11" t="s">
        <v>106</v>
      </c>
      <c r="F194" s="51"/>
      <c r="G194" s="11"/>
      <c r="H194" s="11" t="s">
        <v>66</v>
      </c>
      <c r="I194" s="48">
        <f>I204+I203+I197+I196+I195</f>
        <v>87813</v>
      </c>
      <c r="J194" s="48">
        <f>J204+J203+J197+J196+J195</f>
        <v>86631</v>
      </c>
      <c r="K194" s="198">
        <f t="shared" si="42"/>
        <v>98.653957842232927</v>
      </c>
      <c r="L194" s="48">
        <f>L204+L203+L197+L196+L195</f>
        <v>10000</v>
      </c>
      <c r="M194" s="48">
        <f>M204+M203+M197+M196+M195</f>
        <v>0</v>
      </c>
      <c r="N194" s="201">
        <f t="shared" ref="N194:N207" si="46">M194/L194*100</f>
        <v>0</v>
      </c>
      <c r="O194" s="48">
        <f t="shared" si="44"/>
        <v>97813</v>
      </c>
      <c r="P194" s="48">
        <f t="shared" si="45"/>
        <v>86631</v>
      </c>
      <c r="Q194" s="203">
        <f t="shared" si="43"/>
        <v>88.567981761115604</v>
      </c>
    </row>
    <row r="195" spans="2:17" x14ac:dyDescent="0.2">
      <c r="B195" s="72">
        <f t="shared" si="38"/>
        <v>187</v>
      </c>
      <c r="C195" s="12"/>
      <c r="D195" s="12"/>
      <c r="E195" s="12"/>
      <c r="F195" s="52" t="s">
        <v>198</v>
      </c>
      <c r="G195" s="12">
        <v>610</v>
      </c>
      <c r="H195" s="12" t="s">
        <v>135</v>
      </c>
      <c r="I195" s="49">
        <f>49110+1500+134</f>
        <v>50744</v>
      </c>
      <c r="J195" s="49">
        <v>50744</v>
      </c>
      <c r="K195" s="198">
        <f t="shared" si="42"/>
        <v>100</v>
      </c>
      <c r="L195" s="49"/>
      <c r="M195" s="49"/>
      <c r="N195" s="201"/>
      <c r="O195" s="49">
        <f t="shared" si="44"/>
        <v>50744</v>
      </c>
      <c r="P195" s="49">
        <f t="shared" si="45"/>
        <v>50744</v>
      </c>
      <c r="Q195" s="203">
        <f t="shared" si="43"/>
        <v>100</v>
      </c>
    </row>
    <row r="196" spans="2:17" x14ac:dyDescent="0.2">
      <c r="B196" s="72">
        <f t="shared" si="38"/>
        <v>188</v>
      </c>
      <c r="C196" s="12"/>
      <c r="D196" s="12"/>
      <c r="E196" s="12"/>
      <c r="F196" s="52" t="s">
        <v>198</v>
      </c>
      <c r="G196" s="12">
        <v>620</v>
      </c>
      <c r="H196" s="12" t="s">
        <v>130</v>
      </c>
      <c r="I196" s="49">
        <f>18790+100-134</f>
        <v>18756</v>
      </c>
      <c r="J196" s="49">
        <v>18756</v>
      </c>
      <c r="K196" s="198">
        <f t="shared" si="42"/>
        <v>100</v>
      </c>
      <c r="L196" s="49"/>
      <c r="M196" s="49"/>
      <c r="N196" s="201"/>
      <c r="O196" s="49">
        <f t="shared" si="44"/>
        <v>18756</v>
      </c>
      <c r="P196" s="49">
        <f t="shared" si="45"/>
        <v>18756</v>
      </c>
      <c r="Q196" s="203">
        <f t="shared" si="43"/>
        <v>100</v>
      </c>
    </row>
    <row r="197" spans="2:17" x14ac:dyDescent="0.2">
      <c r="B197" s="72">
        <f t="shared" si="38"/>
        <v>189</v>
      </c>
      <c r="C197" s="12"/>
      <c r="D197" s="12"/>
      <c r="E197" s="12"/>
      <c r="F197" s="52" t="s">
        <v>198</v>
      </c>
      <c r="G197" s="12">
        <v>630</v>
      </c>
      <c r="H197" s="12" t="s">
        <v>127</v>
      </c>
      <c r="I197" s="49">
        <f>I202+I201+I199+I198+I200</f>
        <v>16862</v>
      </c>
      <c r="J197" s="49">
        <f>J202+J201+J199+J198+J200</f>
        <v>15680</v>
      </c>
      <c r="K197" s="198">
        <f t="shared" si="42"/>
        <v>92.990155378958605</v>
      </c>
      <c r="L197" s="49">
        <f>L202+L201+L199+L198</f>
        <v>0</v>
      </c>
      <c r="M197" s="49">
        <f>M202+M201+M199+M198</f>
        <v>0</v>
      </c>
      <c r="N197" s="201"/>
      <c r="O197" s="49">
        <f t="shared" si="44"/>
        <v>16862</v>
      </c>
      <c r="P197" s="49">
        <f t="shared" si="45"/>
        <v>15680</v>
      </c>
      <c r="Q197" s="203">
        <f t="shared" si="43"/>
        <v>92.990155378958605</v>
      </c>
    </row>
    <row r="198" spans="2:17" x14ac:dyDescent="0.2">
      <c r="B198" s="72">
        <f t="shared" si="38"/>
        <v>190</v>
      </c>
      <c r="C198" s="4"/>
      <c r="D198" s="4"/>
      <c r="E198" s="4"/>
      <c r="F198" s="53" t="s">
        <v>198</v>
      </c>
      <c r="G198" s="4">
        <v>632</v>
      </c>
      <c r="H198" s="4" t="s">
        <v>138</v>
      </c>
      <c r="I198" s="23">
        <f>320+58</f>
        <v>378</v>
      </c>
      <c r="J198" s="23">
        <v>384</v>
      </c>
      <c r="K198" s="198">
        <f t="shared" si="42"/>
        <v>101.58730158730158</v>
      </c>
      <c r="L198" s="23"/>
      <c r="M198" s="23"/>
      <c r="N198" s="201"/>
      <c r="O198" s="23">
        <f t="shared" si="44"/>
        <v>378</v>
      </c>
      <c r="P198" s="23">
        <f t="shared" si="45"/>
        <v>384</v>
      </c>
      <c r="Q198" s="203">
        <f t="shared" si="43"/>
        <v>101.58730158730158</v>
      </c>
    </row>
    <row r="199" spans="2:17" x14ac:dyDescent="0.2">
      <c r="B199" s="72">
        <f t="shared" si="38"/>
        <v>191</v>
      </c>
      <c r="C199" s="4"/>
      <c r="D199" s="4"/>
      <c r="E199" s="4"/>
      <c r="F199" s="53" t="s">
        <v>198</v>
      </c>
      <c r="G199" s="4">
        <v>633</v>
      </c>
      <c r="H199" s="4" t="s">
        <v>131</v>
      </c>
      <c r="I199" s="23">
        <f>2876+608+217</f>
        <v>3701</v>
      </c>
      <c r="J199" s="23">
        <v>3253</v>
      </c>
      <c r="K199" s="198">
        <f t="shared" si="42"/>
        <v>87.895163469332616</v>
      </c>
      <c r="L199" s="23"/>
      <c r="M199" s="23"/>
      <c r="N199" s="201"/>
      <c r="O199" s="23">
        <f t="shared" si="44"/>
        <v>3701</v>
      </c>
      <c r="P199" s="23">
        <f t="shared" si="45"/>
        <v>3253</v>
      </c>
      <c r="Q199" s="203">
        <f t="shared" si="43"/>
        <v>87.895163469332616</v>
      </c>
    </row>
    <row r="200" spans="2:17" x14ac:dyDescent="0.2">
      <c r="B200" s="72">
        <f t="shared" si="38"/>
        <v>192</v>
      </c>
      <c r="C200" s="4"/>
      <c r="D200" s="4"/>
      <c r="E200" s="4"/>
      <c r="F200" s="53" t="s">
        <v>198</v>
      </c>
      <c r="G200" s="4">
        <v>635</v>
      </c>
      <c r="H200" s="4" t="s">
        <v>137</v>
      </c>
      <c r="I200" s="23">
        <v>1341</v>
      </c>
      <c r="J200" s="23">
        <v>1341</v>
      </c>
      <c r="K200" s="198">
        <f t="shared" si="42"/>
        <v>100</v>
      </c>
      <c r="L200" s="23"/>
      <c r="M200" s="23"/>
      <c r="N200" s="201"/>
      <c r="O200" s="23">
        <f t="shared" si="44"/>
        <v>1341</v>
      </c>
      <c r="P200" s="23">
        <f t="shared" si="45"/>
        <v>1341</v>
      </c>
      <c r="Q200" s="203">
        <f t="shared" si="43"/>
        <v>100</v>
      </c>
    </row>
    <row r="201" spans="2:17" x14ac:dyDescent="0.2">
      <c r="B201" s="72">
        <f t="shared" si="38"/>
        <v>193</v>
      </c>
      <c r="C201" s="4"/>
      <c r="D201" s="4"/>
      <c r="E201" s="4"/>
      <c r="F201" s="53" t="s">
        <v>198</v>
      </c>
      <c r="G201" s="4">
        <v>636</v>
      </c>
      <c r="H201" s="4" t="s">
        <v>132</v>
      </c>
      <c r="I201" s="23">
        <f>10000-58</f>
        <v>9942</v>
      </c>
      <c r="J201" s="23">
        <v>9407</v>
      </c>
      <c r="K201" s="198">
        <f t="shared" si="42"/>
        <v>94.618788976061154</v>
      </c>
      <c r="L201" s="23"/>
      <c r="M201" s="23"/>
      <c r="N201" s="201"/>
      <c r="O201" s="23">
        <f t="shared" si="44"/>
        <v>9942</v>
      </c>
      <c r="P201" s="23">
        <f t="shared" si="45"/>
        <v>9407</v>
      </c>
      <c r="Q201" s="203">
        <f t="shared" si="43"/>
        <v>94.618788976061154</v>
      </c>
    </row>
    <row r="202" spans="2:17" x14ac:dyDescent="0.2">
      <c r="B202" s="72">
        <f t="shared" si="38"/>
        <v>194</v>
      </c>
      <c r="C202" s="4"/>
      <c r="D202" s="4"/>
      <c r="E202" s="4"/>
      <c r="F202" s="53" t="s">
        <v>198</v>
      </c>
      <c r="G202" s="4">
        <v>637</v>
      </c>
      <c r="H202" s="4" t="s">
        <v>128</v>
      </c>
      <c r="I202" s="23">
        <v>1500</v>
      </c>
      <c r="J202" s="23">
        <v>1295</v>
      </c>
      <c r="K202" s="198">
        <f t="shared" si="42"/>
        <v>86.333333333333329</v>
      </c>
      <c r="L202" s="23"/>
      <c r="M202" s="23"/>
      <c r="N202" s="201"/>
      <c r="O202" s="23">
        <f t="shared" si="44"/>
        <v>1500</v>
      </c>
      <c r="P202" s="23">
        <f t="shared" si="45"/>
        <v>1295</v>
      </c>
      <c r="Q202" s="203">
        <f t="shared" si="43"/>
        <v>86.333333333333329</v>
      </c>
    </row>
    <row r="203" spans="2:17" x14ac:dyDescent="0.2">
      <c r="B203" s="72">
        <f t="shared" ref="B203:B236" si="47">B202+1</f>
        <v>195</v>
      </c>
      <c r="C203" s="12"/>
      <c r="D203" s="12"/>
      <c r="E203" s="12"/>
      <c r="F203" s="52" t="s">
        <v>198</v>
      </c>
      <c r="G203" s="12">
        <v>640</v>
      </c>
      <c r="H203" s="12" t="s">
        <v>134</v>
      </c>
      <c r="I203" s="49">
        <f>1400+51</f>
        <v>1451</v>
      </c>
      <c r="J203" s="49">
        <v>1451</v>
      </c>
      <c r="K203" s="198">
        <f t="shared" si="42"/>
        <v>100</v>
      </c>
      <c r="L203" s="49"/>
      <c r="M203" s="49"/>
      <c r="N203" s="201"/>
      <c r="O203" s="49">
        <f t="shared" si="44"/>
        <v>1451</v>
      </c>
      <c r="P203" s="49">
        <f t="shared" si="45"/>
        <v>1451</v>
      </c>
      <c r="Q203" s="203">
        <f t="shared" si="43"/>
        <v>100</v>
      </c>
    </row>
    <row r="204" spans="2:17" x14ac:dyDescent="0.2">
      <c r="B204" s="72">
        <f t="shared" si="47"/>
        <v>196</v>
      </c>
      <c r="C204" s="12"/>
      <c r="D204" s="12"/>
      <c r="E204" s="12"/>
      <c r="F204" s="52" t="s">
        <v>198</v>
      </c>
      <c r="G204" s="12">
        <v>710</v>
      </c>
      <c r="H204" s="12" t="s">
        <v>183</v>
      </c>
      <c r="I204" s="49">
        <f>I205</f>
        <v>0</v>
      </c>
      <c r="J204" s="49">
        <f>J205</f>
        <v>0</v>
      </c>
      <c r="K204" s="198"/>
      <c r="L204" s="49">
        <f>L205</f>
        <v>10000</v>
      </c>
      <c r="M204" s="49">
        <f>M205</f>
        <v>0</v>
      </c>
      <c r="N204" s="201">
        <f t="shared" si="46"/>
        <v>0</v>
      </c>
      <c r="O204" s="49">
        <f t="shared" si="44"/>
        <v>10000</v>
      </c>
      <c r="P204" s="49">
        <f t="shared" si="45"/>
        <v>0</v>
      </c>
      <c r="Q204" s="203">
        <f t="shared" si="43"/>
        <v>0</v>
      </c>
    </row>
    <row r="205" spans="2:17" x14ac:dyDescent="0.2">
      <c r="B205" s="72">
        <f t="shared" si="47"/>
        <v>197</v>
      </c>
      <c r="C205" s="4"/>
      <c r="D205" s="4"/>
      <c r="E205" s="4"/>
      <c r="F205" s="82" t="s">
        <v>198</v>
      </c>
      <c r="G205" s="83">
        <v>717</v>
      </c>
      <c r="H205" s="83" t="s">
        <v>193</v>
      </c>
      <c r="I205" s="84"/>
      <c r="J205" s="84"/>
      <c r="K205" s="198"/>
      <c r="L205" s="84">
        <f>L206</f>
        <v>10000</v>
      </c>
      <c r="M205" s="84">
        <f>M206</f>
        <v>0</v>
      </c>
      <c r="N205" s="201">
        <f t="shared" si="46"/>
        <v>0</v>
      </c>
      <c r="O205" s="84">
        <f t="shared" si="44"/>
        <v>10000</v>
      </c>
      <c r="P205" s="84">
        <f t="shared" si="45"/>
        <v>0</v>
      </c>
      <c r="Q205" s="203">
        <f t="shared" si="43"/>
        <v>0</v>
      </c>
    </row>
    <row r="206" spans="2:17" x14ac:dyDescent="0.2">
      <c r="B206" s="72">
        <f t="shared" si="47"/>
        <v>198</v>
      </c>
      <c r="C206" s="4"/>
      <c r="D206" s="4"/>
      <c r="E206" s="4"/>
      <c r="F206" s="53"/>
      <c r="G206" s="4"/>
      <c r="H206" s="4" t="s">
        <v>332</v>
      </c>
      <c r="I206" s="23"/>
      <c r="J206" s="23"/>
      <c r="K206" s="198"/>
      <c r="L206" s="23">
        <v>10000</v>
      </c>
      <c r="M206" s="23"/>
      <c r="N206" s="201">
        <f t="shared" si="46"/>
        <v>0</v>
      </c>
      <c r="O206" s="23">
        <f t="shared" si="44"/>
        <v>10000</v>
      </c>
      <c r="P206" s="23">
        <f t="shared" si="45"/>
        <v>0</v>
      </c>
      <c r="Q206" s="203">
        <f t="shared" si="43"/>
        <v>0</v>
      </c>
    </row>
    <row r="207" spans="2:17" x14ac:dyDescent="0.2">
      <c r="B207" s="72">
        <f t="shared" si="47"/>
        <v>199</v>
      </c>
      <c r="C207" s="11"/>
      <c r="D207" s="11"/>
      <c r="E207" s="11" t="s">
        <v>107</v>
      </c>
      <c r="F207" s="51"/>
      <c r="G207" s="11"/>
      <c r="H207" s="11" t="s">
        <v>108</v>
      </c>
      <c r="I207" s="48">
        <f>I217+I216+I210+I209+I208</f>
        <v>250656</v>
      </c>
      <c r="J207" s="48">
        <f>J217+J216+J210+J209+J208</f>
        <v>247568</v>
      </c>
      <c r="K207" s="198">
        <f t="shared" ref="K207:K216" si="48">J207/I207*100</f>
        <v>98.768032682241795</v>
      </c>
      <c r="L207" s="48">
        <f>L217+L216+L210+L209+L208</f>
        <v>67500</v>
      </c>
      <c r="M207" s="48">
        <f>M217+M216+M210+M209+M208</f>
        <v>65200</v>
      </c>
      <c r="N207" s="201">
        <f t="shared" si="46"/>
        <v>96.592592592592595</v>
      </c>
      <c r="O207" s="48">
        <f t="shared" si="44"/>
        <v>318156</v>
      </c>
      <c r="P207" s="48">
        <f t="shared" si="45"/>
        <v>312768</v>
      </c>
      <c r="Q207" s="203">
        <f t="shared" si="43"/>
        <v>98.306491155282316</v>
      </c>
    </row>
    <row r="208" spans="2:17" x14ac:dyDescent="0.2">
      <c r="B208" s="72">
        <f t="shared" si="47"/>
        <v>200</v>
      </c>
      <c r="C208" s="12"/>
      <c r="D208" s="12"/>
      <c r="E208" s="12"/>
      <c r="F208" s="52" t="s">
        <v>198</v>
      </c>
      <c r="G208" s="12">
        <v>610</v>
      </c>
      <c r="H208" s="12" t="s">
        <v>135</v>
      </c>
      <c r="I208" s="49">
        <f>148370+900+2940-6</f>
        <v>152204</v>
      </c>
      <c r="J208" s="49">
        <v>152204</v>
      </c>
      <c r="K208" s="198">
        <f t="shared" si="48"/>
        <v>100</v>
      </c>
      <c r="L208" s="49"/>
      <c r="M208" s="49"/>
      <c r="N208" s="201"/>
      <c r="O208" s="49">
        <f t="shared" si="44"/>
        <v>152204</v>
      </c>
      <c r="P208" s="49">
        <f t="shared" si="45"/>
        <v>152204</v>
      </c>
      <c r="Q208" s="203">
        <f t="shared" si="43"/>
        <v>100</v>
      </c>
    </row>
    <row r="209" spans="2:17" x14ac:dyDescent="0.2">
      <c r="B209" s="72">
        <f t="shared" si="47"/>
        <v>201</v>
      </c>
      <c r="C209" s="12"/>
      <c r="D209" s="12"/>
      <c r="E209" s="12"/>
      <c r="F209" s="52" t="s">
        <v>198</v>
      </c>
      <c r="G209" s="12">
        <v>620</v>
      </c>
      <c r="H209" s="12" t="s">
        <v>130</v>
      </c>
      <c r="I209" s="49">
        <f>55095+300+280+6</f>
        <v>55681</v>
      </c>
      <c r="J209" s="49">
        <v>55681</v>
      </c>
      <c r="K209" s="198">
        <f t="shared" si="48"/>
        <v>100</v>
      </c>
      <c r="L209" s="49"/>
      <c r="M209" s="49"/>
      <c r="N209" s="201"/>
      <c r="O209" s="49">
        <f t="shared" si="44"/>
        <v>55681</v>
      </c>
      <c r="P209" s="49">
        <f t="shared" si="45"/>
        <v>55681</v>
      </c>
      <c r="Q209" s="203">
        <f t="shared" si="43"/>
        <v>100</v>
      </c>
    </row>
    <row r="210" spans="2:17" x14ac:dyDescent="0.2">
      <c r="B210" s="72">
        <f t="shared" si="47"/>
        <v>202</v>
      </c>
      <c r="C210" s="12"/>
      <c r="D210" s="12"/>
      <c r="E210" s="12"/>
      <c r="F210" s="52" t="s">
        <v>198</v>
      </c>
      <c r="G210" s="12">
        <v>630</v>
      </c>
      <c r="H210" s="12" t="s">
        <v>127</v>
      </c>
      <c r="I210" s="49">
        <f>I215+I214+I213+I212+I211</f>
        <v>41591</v>
      </c>
      <c r="J210" s="49">
        <f>J215+J214+J213+J212+J211</f>
        <v>38629</v>
      </c>
      <c r="K210" s="198">
        <f t="shared" si="48"/>
        <v>92.878266932749881</v>
      </c>
      <c r="L210" s="49">
        <f>L215+L214+L213+L212+L211</f>
        <v>0</v>
      </c>
      <c r="M210" s="49">
        <f>M215+M214+M213+M212+M211</f>
        <v>0</v>
      </c>
      <c r="N210" s="201"/>
      <c r="O210" s="49">
        <f t="shared" si="44"/>
        <v>41591</v>
      </c>
      <c r="P210" s="49">
        <f t="shared" si="45"/>
        <v>38629</v>
      </c>
      <c r="Q210" s="203">
        <f t="shared" si="43"/>
        <v>92.878266932749881</v>
      </c>
    </row>
    <row r="211" spans="2:17" x14ac:dyDescent="0.2">
      <c r="B211" s="72">
        <f t="shared" si="47"/>
        <v>203</v>
      </c>
      <c r="C211" s="4"/>
      <c r="D211" s="4"/>
      <c r="E211" s="4"/>
      <c r="F211" s="53" t="s">
        <v>198</v>
      </c>
      <c r="G211" s="4">
        <v>632</v>
      </c>
      <c r="H211" s="4" t="s">
        <v>138</v>
      </c>
      <c r="I211" s="23">
        <f>7530+6100-1191</f>
        <v>12439</v>
      </c>
      <c r="J211" s="23">
        <v>12439</v>
      </c>
      <c r="K211" s="198">
        <f t="shared" si="48"/>
        <v>100</v>
      </c>
      <c r="L211" s="23"/>
      <c r="M211" s="23"/>
      <c r="N211" s="201"/>
      <c r="O211" s="23">
        <f t="shared" si="44"/>
        <v>12439</v>
      </c>
      <c r="P211" s="23">
        <f t="shared" si="45"/>
        <v>12439</v>
      </c>
      <c r="Q211" s="203">
        <f t="shared" si="43"/>
        <v>100</v>
      </c>
    </row>
    <row r="212" spans="2:17" x14ac:dyDescent="0.2">
      <c r="B212" s="72">
        <f t="shared" si="47"/>
        <v>204</v>
      </c>
      <c r="C212" s="4"/>
      <c r="D212" s="4"/>
      <c r="E212" s="4"/>
      <c r="F212" s="53" t="s">
        <v>198</v>
      </c>
      <c r="G212" s="4">
        <v>633</v>
      </c>
      <c r="H212" s="4" t="s">
        <v>131</v>
      </c>
      <c r="I212" s="23">
        <f>8500+2192-1554+1097</f>
        <v>10235</v>
      </c>
      <c r="J212" s="23">
        <v>9760</v>
      </c>
      <c r="K212" s="198">
        <f t="shared" si="48"/>
        <v>95.359062042012695</v>
      </c>
      <c r="L212" s="23"/>
      <c r="M212" s="23"/>
      <c r="N212" s="201"/>
      <c r="O212" s="23">
        <f t="shared" si="44"/>
        <v>10235</v>
      </c>
      <c r="P212" s="23">
        <f t="shared" si="45"/>
        <v>9760</v>
      </c>
      <c r="Q212" s="203">
        <f t="shared" si="43"/>
        <v>95.359062042012695</v>
      </c>
    </row>
    <row r="213" spans="2:17" x14ac:dyDescent="0.2">
      <c r="B213" s="72">
        <f t="shared" si="47"/>
        <v>205</v>
      </c>
      <c r="C213" s="4"/>
      <c r="D213" s="4"/>
      <c r="E213" s="4"/>
      <c r="F213" s="53" t="s">
        <v>198</v>
      </c>
      <c r="G213" s="4">
        <v>635</v>
      </c>
      <c r="H213" s="4" t="s">
        <v>137</v>
      </c>
      <c r="I213" s="23">
        <f>600+6023+500</f>
        <v>7123</v>
      </c>
      <c r="J213" s="23">
        <v>7100</v>
      </c>
      <c r="K213" s="198">
        <f t="shared" si="48"/>
        <v>99.677102344517749</v>
      </c>
      <c r="L213" s="23"/>
      <c r="M213" s="23"/>
      <c r="N213" s="201"/>
      <c r="O213" s="23">
        <f t="shared" si="44"/>
        <v>7123</v>
      </c>
      <c r="P213" s="23">
        <f t="shared" si="45"/>
        <v>7100</v>
      </c>
      <c r="Q213" s="203">
        <f t="shared" si="43"/>
        <v>99.677102344517749</v>
      </c>
    </row>
    <row r="214" spans="2:17" x14ac:dyDescent="0.2">
      <c r="B214" s="72">
        <f t="shared" si="47"/>
        <v>206</v>
      </c>
      <c r="C214" s="4"/>
      <c r="D214" s="4"/>
      <c r="E214" s="4"/>
      <c r="F214" s="53" t="s">
        <v>198</v>
      </c>
      <c r="G214" s="4">
        <v>636</v>
      </c>
      <c r="H214" s="4" t="s">
        <v>132</v>
      </c>
      <c r="I214" s="23">
        <v>4700</v>
      </c>
      <c r="J214" s="23">
        <v>2554</v>
      </c>
      <c r="K214" s="198">
        <f t="shared" si="48"/>
        <v>54.340425531914896</v>
      </c>
      <c r="L214" s="23"/>
      <c r="M214" s="23"/>
      <c r="N214" s="201"/>
      <c r="O214" s="23">
        <f t="shared" si="44"/>
        <v>4700</v>
      </c>
      <c r="P214" s="23">
        <f t="shared" si="45"/>
        <v>2554</v>
      </c>
      <c r="Q214" s="203">
        <f t="shared" si="43"/>
        <v>54.340425531914896</v>
      </c>
    </row>
    <row r="215" spans="2:17" x14ac:dyDescent="0.2">
      <c r="B215" s="72">
        <f t="shared" si="47"/>
        <v>207</v>
      </c>
      <c r="C215" s="4"/>
      <c r="D215" s="4"/>
      <c r="E215" s="4"/>
      <c r="F215" s="53" t="s">
        <v>198</v>
      </c>
      <c r="G215" s="4">
        <v>637</v>
      </c>
      <c r="H215" s="4" t="s">
        <v>128</v>
      </c>
      <c r="I215" s="23">
        <f>7000+94</f>
        <v>7094</v>
      </c>
      <c r="J215" s="23">
        <v>6776</v>
      </c>
      <c r="K215" s="198">
        <f t="shared" si="48"/>
        <v>95.51733859599662</v>
      </c>
      <c r="L215" s="23"/>
      <c r="M215" s="23"/>
      <c r="N215" s="201"/>
      <c r="O215" s="23">
        <f t="shared" si="44"/>
        <v>7094</v>
      </c>
      <c r="P215" s="23">
        <f t="shared" si="45"/>
        <v>6776</v>
      </c>
      <c r="Q215" s="203">
        <f t="shared" si="43"/>
        <v>95.51733859599662</v>
      </c>
    </row>
    <row r="216" spans="2:17" x14ac:dyDescent="0.2">
      <c r="B216" s="72">
        <f t="shared" si="47"/>
        <v>208</v>
      </c>
      <c r="C216" s="12"/>
      <c r="D216" s="12"/>
      <c r="E216" s="12"/>
      <c r="F216" s="52" t="s">
        <v>198</v>
      </c>
      <c r="G216" s="12">
        <v>640</v>
      </c>
      <c r="H216" s="12" t="s">
        <v>134</v>
      </c>
      <c r="I216" s="49">
        <f>3280-2100</f>
        <v>1180</v>
      </c>
      <c r="J216" s="49">
        <v>1054</v>
      </c>
      <c r="K216" s="198">
        <f t="shared" si="48"/>
        <v>89.322033898305079</v>
      </c>
      <c r="L216" s="49"/>
      <c r="M216" s="49"/>
      <c r="N216" s="201"/>
      <c r="O216" s="49">
        <f t="shared" si="44"/>
        <v>1180</v>
      </c>
      <c r="P216" s="49">
        <f t="shared" si="45"/>
        <v>1054</v>
      </c>
      <c r="Q216" s="203">
        <f t="shared" si="43"/>
        <v>89.322033898305079</v>
      </c>
    </row>
    <row r="217" spans="2:17" x14ac:dyDescent="0.2">
      <c r="B217" s="72">
        <f t="shared" si="47"/>
        <v>209</v>
      </c>
      <c r="C217" s="12"/>
      <c r="D217" s="12"/>
      <c r="E217" s="12"/>
      <c r="F217" s="52" t="s">
        <v>198</v>
      </c>
      <c r="G217" s="12">
        <v>710</v>
      </c>
      <c r="H217" s="12" t="s">
        <v>183</v>
      </c>
      <c r="I217" s="49">
        <f>I218</f>
        <v>0</v>
      </c>
      <c r="J217" s="49">
        <f>J218</f>
        <v>0</v>
      </c>
      <c r="K217" s="198"/>
      <c r="L217" s="49">
        <f>L218</f>
        <v>67500</v>
      </c>
      <c r="M217" s="49">
        <f>M218</f>
        <v>65200</v>
      </c>
      <c r="N217" s="201">
        <f t="shared" ref="N217:N240" si="49">M217/L217*100</f>
        <v>96.592592592592595</v>
      </c>
      <c r="O217" s="49">
        <f t="shared" si="44"/>
        <v>67500</v>
      </c>
      <c r="P217" s="49">
        <f t="shared" si="45"/>
        <v>65200</v>
      </c>
      <c r="Q217" s="203">
        <f t="shared" si="43"/>
        <v>96.592592592592595</v>
      </c>
    </row>
    <row r="218" spans="2:17" x14ac:dyDescent="0.2">
      <c r="B218" s="72">
        <f t="shared" si="47"/>
        <v>210</v>
      </c>
      <c r="C218" s="4"/>
      <c r="D218" s="4"/>
      <c r="E218" s="4"/>
      <c r="F218" s="82" t="s">
        <v>198</v>
      </c>
      <c r="G218" s="83">
        <v>717</v>
      </c>
      <c r="H218" s="83" t="s">
        <v>193</v>
      </c>
      <c r="I218" s="84"/>
      <c r="J218" s="84"/>
      <c r="K218" s="198"/>
      <c r="L218" s="84">
        <f>L219</f>
        <v>67500</v>
      </c>
      <c r="M218" s="84">
        <f>M219</f>
        <v>65200</v>
      </c>
      <c r="N218" s="201">
        <f t="shared" si="49"/>
        <v>96.592592592592595</v>
      </c>
      <c r="O218" s="84">
        <f t="shared" si="44"/>
        <v>67500</v>
      </c>
      <c r="P218" s="84">
        <f t="shared" si="45"/>
        <v>65200</v>
      </c>
      <c r="Q218" s="203">
        <f t="shared" si="43"/>
        <v>96.592592592592595</v>
      </c>
    </row>
    <row r="219" spans="2:17" x14ac:dyDescent="0.2">
      <c r="B219" s="72">
        <f t="shared" si="47"/>
        <v>211</v>
      </c>
      <c r="C219" s="4"/>
      <c r="D219" s="4"/>
      <c r="E219" s="4"/>
      <c r="F219" s="53"/>
      <c r="G219" s="4"/>
      <c r="H219" s="35" t="s">
        <v>414</v>
      </c>
      <c r="I219" s="23"/>
      <c r="J219" s="23"/>
      <c r="K219" s="198"/>
      <c r="L219" s="23">
        <f>30000+22000+15500</f>
        <v>67500</v>
      </c>
      <c r="M219" s="23">
        <v>65200</v>
      </c>
      <c r="N219" s="201">
        <f t="shared" si="49"/>
        <v>96.592592592592595</v>
      </c>
      <c r="O219" s="23">
        <f t="shared" si="44"/>
        <v>67500</v>
      </c>
      <c r="P219" s="23">
        <f t="shared" si="45"/>
        <v>65200</v>
      </c>
      <c r="Q219" s="203">
        <f t="shared" si="43"/>
        <v>96.592592592592595</v>
      </c>
    </row>
    <row r="220" spans="2:17" ht="15" x14ac:dyDescent="0.2">
      <c r="B220" s="72">
        <f t="shared" si="47"/>
        <v>212</v>
      </c>
      <c r="C220" s="179">
        <v>2</v>
      </c>
      <c r="D220" s="257" t="s">
        <v>192</v>
      </c>
      <c r="E220" s="253"/>
      <c r="F220" s="253"/>
      <c r="G220" s="253"/>
      <c r="H220" s="254"/>
      <c r="I220" s="45">
        <f>I225+I241+I263+I293+I314+I347+I381+I410+I436+I224+I221</f>
        <v>7110025</v>
      </c>
      <c r="J220" s="45">
        <f>J225+J241+J263+J293+J314+J347+J381+J410+J436+J224+J221</f>
        <v>7069757</v>
      </c>
      <c r="K220" s="198">
        <f>J220/I220*100</f>
        <v>99.433644748084575</v>
      </c>
      <c r="L220" s="45">
        <f>L225+L241+L263+L293+L314+L347+L381+L410+L436</f>
        <v>541660</v>
      </c>
      <c r="M220" s="45">
        <f>M225+M241+M263+M293+M314+M347+M381+M410+M436</f>
        <v>209753</v>
      </c>
      <c r="N220" s="203">
        <f t="shared" si="49"/>
        <v>38.724107373629209</v>
      </c>
      <c r="O220" s="45">
        <f t="shared" si="44"/>
        <v>7651685</v>
      </c>
      <c r="P220" s="45">
        <f t="shared" si="45"/>
        <v>7279510</v>
      </c>
      <c r="Q220" s="203">
        <f t="shared" si="43"/>
        <v>95.136038663379381</v>
      </c>
    </row>
    <row r="221" spans="2:17" x14ac:dyDescent="0.2">
      <c r="B221" s="72">
        <f t="shared" si="47"/>
        <v>213</v>
      </c>
      <c r="C221" s="12"/>
      <c r="D221" s="12"/>
      <c r="E221" s="12"/>
      <c r="F221" s="52" t="s">
        <v>269</v>
      </c>
      <c r="G221" s="12">
        <v>630</v>
      </c>
      <c r="H221" s="12" t="s">
        <v>127</v>
      </c>
      <c r="I221" s="49">
        <f>I222</f>
        <v>793</v>
      </c>
      <c r="J221" s="49">
        <f>J222</f>
        <v>793</v>
      </c>
      <c r="K221" s="198">
        <f>J221/I221*100</f>
        <v>100</v>
      </c>
      <c r="L221" s="49"/>
      <c r="M221" s="49"/>
      <c r="N221" s="201"/>
      <c r="O221" s="49">
        <f t="shared" si="44"/>
        <v>793</v>
      </c>
      <c r="P221" s="49">
        <f t="shared" si="45"/>
        <v>793</v>
      </c>
      <c r="Q221" s="203">
        <f t="shared" si="43"/>
        <v>100</v>
      </c>
    </row>
    <row r="222" spans="2:17" x14ac:dyDescent="0.2">
      <c r="B222" s="72">
        <f t="shared" si="47"/>
        <v>214</v>
      </c>
      <c r="C222" s="75"/>
      <c r="D222" s="75"/>
      <c r="E222" s="75"/>
      <c r="F222" s="76"/>
      <c r="G222" s="75"/>
      <c r="H222" s="77" t="s">
        <v>582</v>
      </c>
      <c r="I222" s="62">
        <v>793</v>
      </c>
      <c r="J222" s="62">
        <v>793</v>
      </c>
      <c r="K222" s="198">
        <f>J222/I222*100</f>
        <v>100</v>
      </c>
      <c r="L222" s="62"/>
      <c r="M222" s="62"/>
      <c r="N222" s="198"/>
      <c r="O222" s="62">
        <f t="shared" si="44"/>
        <v>793</v>
      </c>
      <c r="P222" s="62">
        <f t="shared" si="45"/>
        <v>793</v>
      </c>
      <c r="Q222" s="203">
        <f t="shared" si="43"/>
        <v>100</v>
      </c>
    </row>
    <row r="223" spans="2:17" x14ac:dyDescent="0.2">
      <c r="B223" s="72">
        <f t="shared" si="47"/>
        <v>215</v>
      </c>
      <c r="C223" s="12"/>
      <c r="D223" s="12"/>
      <c r="E223" s="12"/>
      <c r="F223" s="52" t="s">
        <v>269</v>
      </c>
      <c r="G223" s="12">
        <v>640</v>
      </c>
      <c r="H223" s="12" t="s">
        <v>134</v>
      </c>
      <c r="I223" s="49"/>
      <c r="J223" s="49"/>
      <c r="K223" s="198"/>
      <c r="L223" s="49"/>
      <c r="M223" s="49"/>
      <c r="N223" s="201"/>
      <c r="O223" s="49">
        <f t="shared" si="44"/>
        <v>0</v>
      </c>
      <c r="P223" s="49">
        <f t="shared" si="45"/>
        <v>0</v>
      </c>
      <c r="Q223" s="203"/>
    </row>
    <row r="224" spans="2:17" ht="24" x14ac:dyDescent="0.2">
      <c r="B224" s="72">
        <f t="shared" si="47"/>
        <v>216</v>
      </c>
      <c r="C224" s="75"/>
      <c r="D224" s="75"/>
      <c r="E224" s="75"/>
      <c r="F224" s="76" t="s">
        <v>269</v>
      </c>
      <c r="G224" s="75">
        <v>641</v>
      </c>
      <c r="H224" s="77" t="s">
        <v>576</v>
      </c>
      <c r="I224" s="62">
        <v>3300</v>
      </c>
      <c r="J224" s="62">
        <v>1521</v>
      </c>
      <c r="K224" s="198">
        <f t="shared" ref="K224:K235" si="50">J224/I224*100</f>
        <v>46.090909090909093</v>
      </c>
      <c r="L224" s="62"/>
      <c r="M224" s="62"/>
      <c r="N224" s="198"/>
      <c r="O224" s="62">
        <f t="shared" si="44"/>
        <v>3300</v>
      </c>
      <c r="P224" s="62">
        <f t="shared" si="45"/>
        <v>1521</v>
      </c>
      <c r="Q224" s="203">
        <f t="shared" ref="Q224:Q232" si="51">P224/O224*100</f>
        <v>46.090909090909093</v>
      </c>
    </row>
    <row r="225" spans="2:17" ht="15" x14ac:dyDescent="0.25">
      <c r="B225" s="72">
        <f t="shared" si="47"/>
        <v>217</v>
      </c>
      <c r="C225" s="15"/>
      <c r="D225" s="15"/>
      <c r="E225" s="15">
        <v>4</v>
      </c>
      <c r="F225" s="50"/>
      <c r="G225" s="15"/>
      <c r="H225" s="15" t="s">
        <v>84</v>
      </c>
      <c r="I225" s="47">
        <f>I226</f>
        <v>106420</v>
      </c>
      <c r="J225" s="47">
        <f>J226</f>
        <v>105714</v>
      </c>
      <c r="K225" s="198">
        <f t="shared" si="50"/>
        <v>99.336590866378501</v>
      </c>
      <c r="L225" s="47">
        <f>L226</f>
        <v>50000</v>
      </c>
      <c r="M225" s="47">
        <f>M226</f>
        <v>4954</v>
      </c>
      <c r="N225" s="201">
        <f t="shared" si="49"/>
        <v>9.9079999999999995</v>
      </c>
      <c r="O225" s="47">
        <f t="shared" si="44"/>
        <v>156420</v>
      </c>
      <c r="P225" s="47">
        <f t="shared" si="45"/>
        <v>110668</v>
      </c>
      <c r="Q225" s="203">
        <f t="shared" si="51"/>
        <v>70.750543408771264</v>
      </c>
    </row>
    <row r="226" spans="2:17" x14ac:dyDescent="0.2">
      <c r="B226" s="72">
        <f t="shared" si="47"/>
        <v>218</v>
      </c>
      <c r="C226" s="11"/>
      <c r="D226" s="11"/>
      <c r="E226" s="11" t="s">
        <v>91</v>
      </c>
      <c r="F226" s="51"/>
      <c r="G226" s="11"/>
      <c r="H226" s="11" t="s">
        <v>92</v>
      </c>
      <c r="I226" s="48">
        <f>I229+I228+I227+I236+I235</f>
        <v>106420</v>
      </c>
      <c r="J226" s="48">
        <f>J229+J228+J227+J236+J235</f>
        <v>105714</v>
      </c>
      <c r="K226" s="198">
        <f t="shared" si="50"/>
        <v>99.336590866378501</v>
      </c>
      <c r="L226" s="48">
        <f>L229+L228+L227+L236</f>
        <v>50000</v>
      </c>
      <c r="M226" s="48">
        <f>M229+M228+M227+M236</f>
        <v>4954</v>
      </c>
      <c r="N226" s="201">
        <f t="shared" si="49"/>
        <v>9.9079999999999995</v>
      </c>
      <c r="O226" s="48">
        <f t="shared" si="44"/>
        <v>156420</v>
      </c>
      <c r="P226" s="48">
        <f t="shared" si="45"/>
        <v>110668</v>
      </c>
      <c r="Q226" s="203">
        <f t="shared" si="51"/>
        <v>70.750543408771264</v>
      </c>
    </row>
    <row r="227" spans="2:17" x14ac:dyDescent="0.2">
      <c r="B227" s="72">
        <f t="shared" si="47"/>
        <v>219</v>
      </c>
      <c r="C227" s="12"/>
      <c r="D227" s="12"/>
      <c r="E227" s="12"/>
      <c r="F227" s="52" t="s">
        <v>125</v>
      </c>
      <c r="G227" s="12">
        <v>610</v>
      </c>
      <c r="H227" s="12" t="s">
        <v>135</v>
      </c>
      <c r="I227" s="49">
        <f>58195+1315+7173</f>
        <v>66683</v>
      </c>
      <c r="J227" s="49">
        <v>66683</v>
      </c>
      <c r="K227" s="198">
        <f t="shared" si="50"/>
        <v>100</v>
      </c>
      <c r="L227" s="49"/>
      <c r="M227" s="49"/>
      <c r="N227" s="201"/>
      <c r="O227" s="49">
        <f t="shared" si="44"/>
        <v>66683</v>
      </c>
      <c r="P227" s="49">
        <f t="shared" si="45"/>
        <v>66683</v>
      </c>
      <c r="Q227" s="203">
        <f t="shared" si="51"/>
        <v>100</v>
      </c>
    </row>
    <row r="228" spans="2:17" x14ac:dyDescent="0.2">
      <c r="B228" s="72">
        <f t="shared" si="47"/>
        <v>220</v>
      </c>
      <c r="C228" s="12"/>
      <c r="D228" s="12"/>
      <c r="E228" s="12"/>
      <c r="F228" s="52" t="s">
        <v>125</v>
      </c>
      <c r="G228" s="12">
        <v>620</v>
      </c>
      <c r="H228" s="12" t="s">
        <v>130</v>
      </c>
      <c r="I228" s="49">
        <f>21605-805+3602</f>
        <v>24402</v>
      </c>
      <c r="J228" s="49">
        <v>24402</v>
      </c>
      <c r="K228" s="198">
        <f t="shared" si="50"/>
        <v>100</v>
      </c>
      <c r="L228" s="49"/>
      <c r="M228" s="49"/>
      <c r="N228" s="201"/>
      <c r="O228" s="49">
        <f t="shared" si="44"/>
        <v>24402</v>
      </c>
      <c r="P228" s="49">
        <f t="shared" si="45"/>
        <v>24402</v>
      </c>
      <c r="Q228" s="203">
        <f t="shared" si="51"/>
        <v>100</v>
      </c>
    </row>
    <row r="229" spans="2:17" x14ac:dyDescent="0.2">
      <c r="B229" s="72">
        <f t="shared" si="47"/>
        <v>221</v>
      </c>
      <c r="C229" s="12"/>
      <c r="D229" s="12"/>
      <c r="E229" s="12"/>
      <c r="F229" s="52" t="s">
        <v>125</v>
      </c>
      <c r="G229" s="12">
        <v>630</v>
      </c>
      <c r="H229" s="12" t="s">
        <v>127</v>
      </c>
      <c r="I229" s="49">
        <f>SUM(I230:I234)</f>
        <v>15210</v>
      </c>
      <c r="J229" s="49">
        <f>SUM(J230:J234)</f>
        <v>14504</v>
      </c>
      <c r="K229" s="198">
        <f t="shared" si="50"/>
        <v>95.358316896778433</v>
      </c>
      <c r="L229" s="49">
        <v>0</v>
      </c>
      <c r="M229" s="49"/>
      <c r="N229" s="201"/>
      <c r="O229" s="49">
        <f t="shared" si="44"/>
        <v>15210</v>
      </c>
      <c r="P229" s="49">
        <f t="shared" si="45"/>
        <v>14504</v>
      </c>
      <c r="Q229" s="203">
        <f t="shared" si="51"/>
        <v>95.358316896778433</v>
      </c>
    </row>
    <row r="230" spans="2:17" x14ac:dyDescent="0.2">
      <c r="B230" s="72">
        <f t="shared" si="47"/>
        <v>222</v>
      </c>
      <c r="C230" s="4"/>
      <c r="D230" s="4"/>
      <c r="E230" s="4"/>
      <c r="F230" s="53" t="s">
        <v>125</v>
      </c>
      <c r="G230" s="4">
        <v>632</v>
      </c>
      <c r="H230" s="4" t="s">
        <v>138</v>
      </c>
      <c r="I230" s="23">
        <f>5690-1030</f>
        <v>4660</v>
      </c>
      <c r="J230" s="23">
        <v>4660</v>
      </c>
      <c r="K230" s="198">
        <f t="shared" si="50"/>
        <v>100</v>
      </c>
      <c r="L230" s="23"/>
      <c r="M230" s="23"/>
      <c r="N230" s="201"/>
      <c r="O230" s="23">
        <f t="shared" si="44"/>
        <v>4660</v>
      </c>
      <c r="P230" s="23">
        <f t="shared" si="45"/>
        <v>4660</v>
      </c>
      <c r="Q230" s="203">
        <f t="shared" si="51"/>
        <v>100</v>
      </c>
    </row>
    <row r="231" spans="2:17" x14ac:dyDescent="0.2">
      <c r="B231" s="72">
        <f t="shared" si="47"/>
        <v>223</v>
      </c>
      <c r="C231" s="4"/>
      <c r="D231" s="4"/>
      <c r="E231" s="4"/>
      <c r="F231" s="53" t="s">
        <v>125</v>
      </c>
      <c r="G231" s="4">
        <v>633</v>
      </c>
      <c r="H231" s="4" t="s">
        <v>131</v>
      </c>
      <c r="I231" s="23">
        <f>800+1088+3687-1616</f>
        <v>3959</v>
      </c>
      <c r="J231" s="23">
        <v>3252</v>
      </c>
      <c r="K231" s="198">
        <f t="shared" si="50"/>
        <v>82.141955039151298</v>
      </c>
      <c r="L231" s="23"/>
      <c r="M231" s="23"/>
      <c r="N231" s="201"/>
      <c r="O231" s="23">
        <f t="shared" si="44"/>
        <v>3959</v>
      </c>
      <c r="P231" s="23">
        <f t="shared" si="45"/>
        <v>3252</v>
      </c>
      <c r="Q231" s="203">
        <f t="shared" si="51"/>
        <v>82.141955039151298</v>
      </c>
    </row>
    <row r="232" spans="2:17" x14ac:dyDescent="0.2">
      <c r="B232" s="72">
        <f t="shared" si="47"/>
        <v>224</v>
      </c>
      <c r="C232" s="4"/>
      <c r="D232" s="4"/>
      <c r="E232" s="4"/>
      <c r="F232" s="53" t="s">
        <v>125</v>
      </c>
      <c r="G232" s="4">
        <v>634</v>
      </c>
      <c r="H232" s="4" t="s">
        <v>136</v>
      </c>
      <c r="I232" s="23">
        <v>228</v>
      </c>
      <c r="J232" s="23">
        <v>228</v>
      </c>
      <c r="K232" s="198">
        <f t="shared" si="50"/>
        <v>100</v>
      </c>
      <c r="L232" s="23"/>
      <c r="M232" s="23"/>
      <c r="N232" s="201"/>
      <c r="O232" s="23">
        <f t="shared" si="44"/>
        <v>228</v>
      </c>
      <c r="P232" s="23">
        <f t="shared" si="45"/>
        <v>228</v>
      </c>
      <c r="Q232" s="203">
        <f t="shared" si="51"/>
        <v>100</v>
      </c>
    </row>
    <row r="233" spans="2:17" x14ac:dyDescent="0.2">
      <c r="B233" s="72">
        <f t="shared" si="47"/>
        <v>225</v>
      </c>
      <c r="C233" s="4"/>
      <c r="D233" s="4"/>
      <c r="E233" s="4"/>
      <c r="F233" s="53" t="s">
        <v>125</v>
      </c>
      <c r="G233" s="4">
        <v>635</v>
      </c>
      <c r="H233" s="4" t="s">
        <v>137</v>
      </c>
      <c r="I233" s="23">
        <v>1616</v>
      </c>
      <c r="J233" s="23">
        <v>1616</v>
      </c>
      <c r="K233" s="198">
        <f t="shared" si="50"/>
        <v>100</v>
      </c>
      <c r="L233" s="23"/>
      <c r="M233" s="23"/>
      <c r="N233" s="201"/>
      <c r="O233" s="23"/>
      <c r="P233" s="23">
        <f t="shared" si="45"/>
        <v>1616</v>
      </c>
      <c r="Q233" s="203"/>
    </row>
    <row r="234" spans="2:17" x14ac:dyDescent="0.2">
      <c r="B234" s="72">
        <f t="shared" si="47"/>
        <v>226</v>
      </c>
      <c r="C234" s="4"/>
      <c r="D234" s="4"/>
      <c r="E234" s="4"/>
      <c r="F234" s="53" t="s">
        <v>125</v>
      </c>
      <c r="G234" s="4">
        <v>637</v>
      </c>
      <c r="H234" s="4" t="s">
        <v>128</v>
      </c>
      <c r="I234" s="23">
        <f>2200+2547</f>
        <v>4747</v>
      </c>
      <c r="J234" s="23">
        <v>4748</v>
      </c>
      <c r="K234" s="198">
        <f t="shared" si="50"/>
        <v>100.02106593638086</v>
      </c>
      <c r="L234" s="23"/>
      <c r="M234" s="23"/>
      <c r="N234" s="201"/>
      <c r="O234" s="23">
        <f t="shared" ref="O234:O246" si="52">L234+I234</f>
        <v>4747</v>
      </c>
      <c r="P234" s="23">
        <f t="shared" ref="P234:P247" si="53">M234+J234</f>
        <v>4748</v>
      </c>
      <c r="Q234" s="203">
        <f t="shared" ref="Q234:Q244" si="54">P234/O234*100</f>
        <v>100.02106593638086</v>
      </c>
    </row>
    <row r="235" spans="2:17" x14ac:dyDescent="0.2">
      <c r="B235" s="72">
        <f t="shared" si="47"/>
        <v>227</v>
      </c>
      <c r="C235" s="4"/>
      <c r="D235" s="4"/>
      <c r="E235" s="4"/>
      <c r="F235" s="52" t="s">
        <v>125</v>
      </c>
      <c r="G235" s="12">
        <v>640</v>
      </c>
      <c r="H235" s="12" t="s">
        <v>134</v>
      </c>
      <c r="I235" s="49">
        <v>125</v>
      </c>
      <c r="J235" s="49">
        <v>125</v>
      </c>
      <c r="K235" s="198">
        <f t="shared" si="50"/>
        <v>100</v>
      </c>
      <c r="L235" s="49"/>
      <c r="M235" s="49"/>
      <c r="N235" s="201"/>
      <c r="O235" s="49">
        <f t="shared" si="52"/>
        <v>125</v>
      </c>
      <c r="P235" s="49">
        <f t="shared" si="53"/>
        <v>125</v>
      </c>
      <c r="Q235" s="203">
        <f t="shared" si="54"/>
        <v>100</v>
      </c>
    </row>
    <row r="236" spans="2:17" x14ac:dyDescent="0.2">
      <c r="B236" s="72">
        <f t="shared" si="47"/>
        <v>228</v>
      </c>
      <c r="C236" s="12"/>
      <c r="D236" s="12"/>
      <c r="E236" s="12"/>
      <c r="F236" s="52" t="s">
        <v>125</v>
      </c>
      <c r="G236" s="12">
        <v>710</v>
      </c>
      <c r="H236" s="12" t="s">
        <v>183</v>
      </c>
      <c r="I236" s="49">
        <f>I237+I239</f>
        <v>0</v>
      </c>
      <c r="J236" s="49">
        <f>J237+J239</f>
        <v>0</v>
      </c>
      <c r="K236" s="198"/>
      <c r="L236" s="49">
        <f>L237+L239</f>
        <v>50000</v>
      </c>
      <c r="M236" s="49">
        <f>M237+M239</f>
        <v>4954</v>
      </c>
      <c r="N236" s="201">
        <f t="shared" si="49"/>
        <v>9.9079999999999995</v>
      </c>
      <c r="O236" s="49">
        <f t="shared" si="52"/>
        <v>50000</v>
      </c>
      <c r="P236" s="49">
        <f t="shared" si="53"/>
        <v>4954</v>
      </c>
      <c r="Q236" s="203">
        <f t="shared" si="54"/>
        <v>9.9079999999999995</v>
      </c>
    </row>
    <row r="237" spans="2:17" x14ac:dyDescent="0.2">
      <c r="B237" s="72">
        <f t="shared" ref="B237:B270" si="55">B236+1</f>
        <v>229</v>
      </c>
      <c r="C237" s="12"/>
      <c r="D237" s="12"/>
      <c r="E237" s="12"/>
      <c r="F237" s="82" t="s">
        <v>125</v>
      </c>
      <c r="G237" s="83">
        <v>716</v>
      </c>
      <c r="H237" s="83" t="s">
        <v>0</v>
      </c>
      <c r="I237" s="84">
        <v>0</v>
      </c>
      <c r="J237" s="84">
        <v>0</v>
      </c>
      <c r="K237" s="198"/>
      <c r="L237" s="84">
        <f>SUM(L238:L238)</f>
        <v>3000</v>
      </c>
      <c r="M237" s="84">
        <f>SUM(M238:M238)</f>
        <v>2974</v>
      </c>
      <c r="N237" s="201">
        <f t="shared" si="49"/>
        <v>99.133333333333326</v>
      </c>
      <c r="O237" s="84">
        <f t="shared" si="52"/>
        <v>3000</v>
      </c>
      <c r="P237" s="84">
        <f t="shared" si="53"/>
        <v>2974</v>
      </c>
      <c r="Q237" s="203">
        <f t="shared" si="54"/>
        <v>99.133333333333326</v>
      </c>
    </row>
    <row r="238" spans="2:17" x14ac:dyDescent="0.2">
      <c r="B238" s="72">
        <f t="shared" si="55"/>
        <v>230</v>
      </c>
      <c r="C238" s="12"/>
      <c r="D238" s="12"/>
      <c r="E238" s="12"/>
      <c r="F238" s="64"/>
      <c r="G238" s="60"/>
      <c r="H238" s="60" t="s">
        <v>492</v>
      </c>
      <c r="I238" s="58"/>
      <c r="J238" s="58"/>
      <c r="K238" s="198"/>
      <c r="L238" s="58">
        <v>3000</v>
      </c>
      <c r="M238" s="58">
        <v>2974</v>
      </c>
      <c r="N238" s="201">
        <f t="shared" si="49"/>
        <v>99.133333333333326</v>
      </c>
      <c r="O238" s="23">
        <f t="shared" si="52"/>
        <v>3000</v>
      </c>
      <c r="P238" s="23">
        <f t="shared" si="53"/>
        <v>2974</v>
      </c>
      <c r="Q238" s="203">
        <f t="shared" si="54"/>
        <v>99.133333333333326</v>
      </c>
    </row>
    <row r="239" spans="2:17" x14ac:dyDescent="0.2">
      <c r="B239" s="72">
        <f t="shared" si="55"/>
        <v>231</v>
      </c>
      <c r="C239" s="12"/>
      <c r="D239" s="12"/>
      <c r="E239" s="12"/>
      <c r="F239" s="82" t="s">
        <v>125</v>
      </c>
      <c r="G239" s="83">
        <v>717</v>
      </c>
      <c r="H239" s="83" t="s">
        <v>193</v>
      </c>
      <c r="I239" s="84">
        <v>0</v>
      </c>
      <c r="J239" s="84">
        <v>0</v>
      </c>
      <c r="K239" s="198"/>
      <c r="L239" s="84">
        <f>SUM(L240:L240)</f>
        <v>47000</v>
      </c>
      <c r="M239" s="84">
        <f>SUM(M240:M240)</f>
        <v>1980</v>
      </c>
      <c r="N239" s="201">
        <f t="shared" si="49"/>
        <v>4.2127659574468082</v>
      </c>
      <c r="O239" s="84">
        <f t="shared" si="52"/>
        <v>47000</v>
      </c>
      <c r="P239" s="84">
        <f t="shared" si="53"/>
        <v>1980</v>
      </c>
      <c r="Q239" s="203">
        <f t="shared" si="54"/>
        <v>4.2127659574468082</v>
      </c>
    </row>
    <row r="240" spans="2:17" x14ac:dyDescent="0.2">
      <c r="B240" s="72">
        <f t="shared" si="55"/>
        <v>232</v>
      </c>
      <c r="C240" s="12"/>
      <c r="D240" s="12"/>
      <c r="E240" s="12"/>
      <c r="F240" s="64"/>
      <c r="G240" s="60"/>
      <c r="H240" s="59" t="s">
        <v>493</v>
      </c>
      <c r="I240" s="58"/>
      <c r="J240" s="58"/>
      <c r="K240" s="198"/>
      <c r="L240" s="58">
        <v>47000</v>
      </c>
      <c r="M240" s="58">
        <f>1980</f>
        <v>1980</v>
      </c>
      <c r="N240" s="201">
        <f t="shared" si="49"/>
        <v>4.2127659574468082</v>
      </c>
      <c r="O240" s="23">
        <f t="shared" si="52"/>
        <v>47000</v>
      </c>
      <c r="P240" s="23">
        <f t="shared" si="53"/>
        <v>1980</v>
      </c>
      <c r="Q240" s="203">
        <f t="shared" si="54"/>
        <v>4.2127659574468082</v>
      </c>
    </row>
    <row r="241" spans="2:17" ht="15" x14ac:dyDescent="0.25">
      <c r="B241" s="72">
        <f t="shared" si="55"/>
        <v>233</v>
      </c>
      <c r="C241" s="15"/>
      <c r="D241" s="15"/>
      <c r="E241" s="15">
        <v>6</v>
      </c>
      <c r="F241" s="50"/>
      <c r="G241" s="15"/>
      <c r="H241" s="15" t="s">
        <v>81</v>
      </c>
      <c r="I241" s="47">
        <f>I242+I243+I244+I250+I251+I252+I253+I259+I262+I260</f>
        <v>732433</v>
      </c>
      <c r="J241" s="47">
        <f>J242+J243+J244+J250+J251+J252+J253+J259+J260+J262</f>
        <v>727265</v>
      </c>
      <c r="K241" s="198">
        <f>J241/I241*100</f>
        <v>99.294406450828959</v>
      </c>
      <c r="L241" s="47">
        <f>L242+L243+L244+L250+L251+L252+L253+L259</f>
        <v>0</v>
      </c>
      <c r="M241" s="47">
        <f>M242+M243+M244+M250+M251+M252+M253+M259</f>
        <v>0</v>
      </c>
      <c r="N241" s="201"/>
      <c r="O241" s="47">
        <f t="shared" si="52"/>
        <v>732433</v>
      </c>
      <c r="P241" s="47">
        <f t="shared" si="53"/>
        <v>727265</v>
      </c>
      <c r="Q241" s="203">
        <f t="shared" si="54"/>
        <v>99.294406450828959</v>
      </c>
    </row>
    <row r="242" spans="2:17" x14ac:dyDescent="0.2">
      <c r="B242" s="72">
        <f t="shared" si="55"/>
        <v>234</v>
      </c>
      <c r="C242" s="12"/>
      <c r="D242" s="12"/>
      <c r="E242" s="12"/>
      <c r="F242" s="52" t="s">
        <v>125</v>
      </c>
      <c r="G242" s="12">
        <v>610</v>
      </c>
      <c r="H242" s="12" t="s">
        <v>135</v>
      </c>
      <c r="I242" s="49">
        <f>201972-534-1289</f>
        <v>200149</v>
      </c>
      <c r="J242" s="49">
        <v>200148</v>
      </c>
      <c r="K242" s="198">
        <f>J242/I242*100</f>
        <v>99.999500372222698</v>
      </c>
      <c r="L242" s="49"/>
      <c r="M242" s="49"/>
      <c r="N242" s="201"/>
      <c r="O242" s="49">
        <f t="shared" si="52"/>
        <v>200149</v>
      </c>
      <c r="P242" s="49">
        <f t="shared" si="53"/>
        <v>200148</v>
      </c>
      <c r="Q242" s="203">
        <f t="shared" si="54"/>
        <v>99.999500372222698</v>
      </c>
    </row>
    <row r="243" spans="2:17" x14ac:dyDescent="0.2">
      <c r="B243" s="72">
        <f t="shared" si="55"/>
        <v>235</v>
      </c>
      <c r="C243" s="12"/>
      <c r="D243" s="12"/>
      <c r="E243" s="12"/>
      <c r="F243" s="52" t="s">
        <v>125</v>
      </c>
      <c r="G243" s="12">
        <v>620</v>
      </c>
      <c r="H243" s="12" t="s">
        <v>130</v>
      </c>
      <c r="I243" s="49">
        <f>67964-344+894</f>
        <v>68514</v>
      </c>
      <c r="J243" s="49">
        <v>68515</v>
      </c>
      <c r="K243" s="198">
        <f>J243/I243*100</f>
        <v>100.00145955571125</v>
      </c>
      <c r="L243" s="49"/>
      <c r="M243" s="49"/>
      <c r="N243" s="201"/>
      <c r="O243" s="49">
        <f t="shared" si="52"/>
        <v>68514</v>
      </c>
      <c r="P243" s="49">
        <f t="shared" si="53"/>
        <v>68515</v>
      </c>
      <c r="Q243" s="203">
        <f t="shared" si="54"/>
        <v>100.00145955571125</v>
      </c>
    </row>
    <row r="244" spans="2:17" x14ac:dyDescent="0.2">
      <c r="B244" s="72">
        <f t="shared" si="55"/>
        <v>236</v>
      </c>
      <c r="C244" s="12"/>
      <c r="D244" s="12"/>
      <c r="E244" s="12"/>
      <c r="F244" s="52" t="s">
        <v>125</v>
      </c>
      <c r="G244" s="12">
        <v>630</v>
      </c>
      <c r="H244" s="12" t="s">
        <v>127</v>
      </c>
      <c r="I244" s="49">
        <f>I249+I248+I246+I245+I247</f>
        <v>57895</v>
      </c>
      <c r="J244" s="49">
        <f>J249+J248+J246+J245+J247</f>
        <v>54907</v>
      </c>
      <c r="K244" s="198">
        <f>J244/I244*100</f>
        <v>94.838932550306581</v>
      </c>
      <c r="L244" s="49">
        <v>0</v>
      </c>
      <c r="M244" s="49"/>
      <c r="N244" s="201"/>
      <c r="O244" s="49">
        <f t="shared" si="52"/>
        <v>57895</v>
      </c>
      <c r="P244" s="49">
        <f t="shared" si="53"/>
        <v>54907</v>
      </c>
      <c r="Q244" s="203">
        <f t="shared" si="54"/>
        <v>94.838932550306581</v>
      </c>
    </row>
    <row r="245" spans="2:17" x14ac:dyDescent="0.2">
      <c r="B245" s="72">
        <f t="shared" si="55"/>
        <v>237</v>
      </c>
      <c r="C245" s="4"/>
      <c r="D245" s="4"/>
      <c r="E245" s="4"/>
      <c r="F245" s="53" t="s">
        <v>125</v>
      </c>
      <c r="G245" s="4">
        <v>632</v>
      </c>
      <c r="H245" s="4" t="s">
        <v>138</v>
      </c>
      <c r="I245" s="23">
        <f>36587-5411-775</f>
        <v>30401</v>
      </c>
      <c r="J245" s="23">
        <v>27477</v>
      </c>
      <c r="K245" s="198">
        <f t="shared" ref="K245:K253" si="56">J245/I245*100</f>
        <v>90.381895332390386</v>
      </c>
      <c r="L245" s="23"/>
      <c r="M245" s="23"/>
      <c r="N245" s="201"/>
      <c r="O245" s="23">
        <f t="shared" si="52"/>
        <v>30401</v>
      </c>
      <c r="P245" s="23">
        <f t="shared" si="53"/>
        <v>27477</v>
      </c>
      <c r="Q245" s="203">
        <f>P245/O245*100</f>
        <v>90.381895332390386</v>
      </c>
    </row>
    <row r="246" spans="2:17" x14ac:dyDescent="0.2">
      <c r="B246" s="72">
        <f t="shared" si="55"/>
        <v>238</v>
      </c>
      <c r="C246" s="4"/>
      <c r="D246" s="4"/>
      <c r="E246" s="4"/>
      <c r="F246" s="53" t="s">
        <v>125</v>
      </c>
      <c r="G246" s="4">
        <v>633</v>
      </c>
      <c r="H246" s="4" t="s">
        <v>131</v>
      </c>
      <c r="I246" s="23">
        <f>9552-1730</f>
        <v>7822</v>
      </c>
      <c r="J246" s="23">
        <v>7821</v>
      </c>
      <c r="K246" s="198">
        <f t="shared" si="56"/>
        <v>99.987215545896191</v>
      </c>
      <c r="L246" s="23"/>
      <c r="M246" s="23"/>
      <c r="N246" s="201"/>
      <c r="O246" s="23">
        <f t="shared" si="52"/>
        <v>7822</v>
      </c>
      <c r="P246" s="23">
        <f t="shared" si="53"/>
        <v>7821</v>
      </c>
      <c r="Q246" s="203">
        <f>P246/O246*100</f>
        <v>99.987215545896191</v>
      </c>
    </row>
    <row r="247" spans="2:17" x14ac:dyDescent="0.2">
      <c r="B247" s="72">
        <f t="shared" si="55"/>
        <v>239</v>
      </c>
      <c r="C247" s="4"/>
      <c r="D247" s="4"/>
      <c r="E247" s="4"/>
      <c r="F247" s="53" t="s">
        <v>125</v>
      </c>
      <c r="G247" s="4">
        <v>634</v>
      </c>
      <c r="H247" s="4" t="s">
        <v>136</v>
      </c>
      <c r="I247" s="23">
        <v>992</v>
      </c>
      <c r="J247" s="23">
        <v>991</v>
      </c>
      <c r="K247" s="198">
        <f t="shared" si="56"/>
        <v>99.899193548387103</v>
      </c>
      <c r="L247" s="23"/>
      <c r="M247" s="23"/>
      <c r="N247" s="201"/>
      <c r="O247" s="23"/>
      <c r="P247" s="23">
        <f t="shared" si="53"/>
        <v>991</v>
      </c>
      <c r="Q247" s="203"/>
    </row>
    <row r="248" spans="2:17" x14ac:dyDescent="0.2">
      <c r="B248" s="72">
        <f t="shared" si="55"/>
        <v>240</v>
      </c>
      <c r="C248" s="4"/>
      <c r="D248" s="4"/>
      <c r="E248" s="4"/>
      <c r="F248" s="53" t="s">
        <v>125</v>
      </c>
      <c r="G248" s="4">
        <v>635</v>
      </c>
      <c r="H248" s="4" t="s">
        <v>137</v>
      </c>
      <c r="I248" s="23">
        <f>5598+270+136</f>
        <v>6004</v>
      </c>
      <c r="J248" s="23">
        <v>6004</v>
      </c>
      <c r="K248" s="198">
        <f t="shared" si="56"/>
        <v>100</v>
      </c>
      <c r="L248" s="23"/>
      <c r="M248" s="23"/>
      <c r="N248" s="201"/>
      <c r="O248" s="23">
        <f t="shared" ref="O248:O260" si="57">L248+I248</f>
        <v>6004</v>
      </c>
      <c r="P248" s="23">
        <f t="shared" ref="P248:P260" si="58">M248+J248</f>
        <v>6004</v>
      </c>
      <c r="Q248" s="203">
        <f t="shared" ref="Q248:Q253" si="59">P248/O248*100</f>
        <v>100</v>
      </c>
    </row>
    <row r="249" spans="2:17" x14ac:dyDescent="0.2">
      <c r="B249" s="72">
        <f t="shared" si="55"/>
        <v>241</v>
      </c>
      <c r="C249" s="4"/>
      <c r="D249" s="4"/>
      <c r="E249" s="4"/>
      <c r="F249" s="53" t="s">
        <v>125</v>
      </c>
      <c r="G249" s="4">
        <v>637</v>
      </c>
      <c r="H249" s="4" t="s">
        <v>128</v>
      </c>
      <c r="I249" s="23">
        <f>10127+2107+442</f>
        <v>12676</v>
      </c>
      <c r="J249" s="23">
        <v>12614</v>
      </c>
      <c r="K249" s="198">
        <f t="shared" si="56"/>
        <v>99.510886715052067</v>
      </c>
      <c r="L249" s="23"/>
      <c r="M249" s="23"/>
      <c r="N249" s="201"/>
      <c r="O249" s="23">
        <f t="shared" si="57"/>
        <v>12676</v>
      </c>
      <c r="P249" s="23">
        <f t="shared" si="58"/>
        <v>12614</v>
      </c>
      <c r="Q249" s="203">
        <f t="shared" si="59"/>
        <v>99.510886715052067</v>
      </c>
    </row>
    <row r="250" spans="2:17" x14ac:dyDescent="0.2">
      <c r="B250" s="72">
        <f t="shared" si="55"/>
        <v>242</v>
      </c>
      <c r="C250" s="12"/>
      <c r="D250" s="12"/>
      <c r="E250" s="12"/>
      <c r="F250" s="52" t="s">
        <v>125</v>
      </c>
      <c r="G250" s="12">
        <v>640</v>
      </c>
      <c r="H250" s="12" t="s">
        <v>134</v>
      </c>
      <c r="I250" s="49">
        <f>121+667+279</f>
        <v>1067</v>
      </c>
      <c r="J250" s="49">
        <v>1067</v>
      </c>
      <c r="K250" s="198">
        <f t="shared" si="56"/>
        <v>100</v>
      </c>
      <c r="L250" s="49"/>
      <c r="M250" s="49"/>
      <c r="N250" s="201"/>
      <c r="O250" s="49">
        <f t="shared" si="57"/>
        <v>1067</v>
      </c>
      <c r="P250" s="49">
        <f t="shared" si="58"/>
        <v>1067</v>
      </c>
      <c r="Q250" s="203">
        <f t="shared" si="59"/>
        <v>100</v>
      </c>
    </row>
    <row r="251" spans="2:17" x14ac:dyDescent="0.2">
      <c r="B251" s="72">
        <f t="shared" si="55"/>
        <v>243</v>
      </c>
      <c r="C251" s="12"/>
      <c r="D251" s="12"/>
      <c r="E251" s="12"/>
      <c r="F251" s="52" t="s">
        <v>269</v>
      </c>
      <c r="G251" s="12">
        <v>610</v>
      </c>
      <c r="H251" s="12" t="s">
        <v>135</v>
      </c>
      <c r="I251" s="49">
        <f>250723+51-284</f>
        <v>250490</v>
      </c>
      <c r="J251" s="49">
        <v>250491</v>
      </c>
      <c r="K251" s="198">
        <f t="shared" si="56"/>
        <v>100.00039921753363</v>
      </c>
      <c r="L251" s="49"/>
      <c r="M251" s="49"/>
      <c r="N251" s="201"/>
      <c r="O251" s="49">
        <f t="shared" si="57"/>
        <v>250490</v>
      </c>
      <c r="P251" s="49">
        <f t="shared" si="58"/>
        <v>250491</v>
      </c>
      <c r="Q251" s="203">
        <f t="shared" si="59"/>
        <v>100.00039921753363</v>
      </c>
    </row>
    <row r="252" spans="2:17" x14ac:dyDescent="0.2">
      <c r="B252" s="72">
        <f t="shared" si="55"/>
        <v>244</v>
      </c>
      <c r="C252" s="12"/>
      <c r="D252" s="12"/>
      <c r="E252" s="12"/>
      <c r="F252" s="52" t="s">
        <v>269</v>
      </c>
      <c r="G252" s="12">
        <v>620</v>
      </c>
      <c r="H252" s="12" t="s">
        <v>130</v>
      </c>
      <c r="I252" s="49">
        <f>84423+21-236</f>
        <v>84208</v>
      </c>
      <c r="J252" s="49">
        <v>84208</v>
      </c>
      <c r="K252" s="198">
        <f t="shared" si="56"/>
        <v>100</v>
      </c>
      <c r="L252" s="49"/>
      <c r="M252" s="49"/>
      <c r="N252" s="201"/>
      <c r="O252" s="49">
        <f t="shared" si="57"/>
        <v>84208</v>
      </c>
      <c r="P252" s="49">
        <f t="shared" si="58"/>
        <v>84208</v>
      </c>
      <c r="Q252" s="203">
        <f t="shared" si="59"/>
        <v>100</v>
      </c>
    </row>
    <row r="253" spans="2:17" x14ac:dyDescent="0.2">
      <c r="B253" s="72">
        <f t="shared" si="55"/>
        <v>245</v>
      </c>
      <c r="C253" s="12"/>
      <c r="D253" s="12"/>
      <c r="E253" s="12"/>
      <c r="F253" s="52" t="s">
        <v>269</v>
      </c>
      <c r="G253" s="12">
        <v>630</v>
      </c>
      <c r="H253" s="12" t="s">
        <v>127</v>
      </c>
      <c r="I253" s="49">
        <f>I258+I257+I255+I254+I256</f>
        <v>60605</v>
      </c>
      <c r="J253" s="49">
        <f>J258+J257+J255+J254+J256</f>
        <v>58423</v>
      </c>
      <c r="K253" s="198">
        <f t="shared" si="56"/>
        <v>96.399636993647391</v>
      </c>
      <c r="L253" s="49">
        <v>0</v>
      </c>
      <c r="M253" s="49">
        <v>0</v>
      </c>
      <c r="N253" s="201"/>
      <c r="O253" s="49">
        <f t="shared" si="57"/>
        <v>60605</v>
      </c>
      <c r="P253" s="49">
        <f t="shared" si="58"/>
        <v>58423</v>
      </c>
      <c r="Q253" s="203">
        <f t="shared" si="59"/>
        <v>96.399636993647391</v>
      </c>
    </row>
    <row r="254" spans="2:17" x14ac:dyDescent="0.2">
      <c r="B254" s="72">
        <f t="shared" si="55"/>
        <v>246</v>
      </c>
      <c r="C254" s="4"/>
      <c r="D254" s="4"/>
      <c r="E254" s="4"/>
      <c r="F254" s="53" t="s">
        <v>269</v>
      </c>
      <c r="G254" s="4">
        <v>632</v>
      </c>
      <c r="H254" s="4" t="s">
        <v>138</v>
      </c>
      <c r="I254" s="23">
        <f>30862-7567+715</f>
        <v>24010</v>
      </c>
      <c r="J254" s="23">
        <v>21888</v>
      </c>
      <c r="K254" s="198">
        <f t="shared" ref="K254:K260" si="60">J254/I254*100</f>
        <v>91.162015826738866</v>
      </c>
      <c r="L254" s="23"/>
      <c r="M254" s="23"/>
      <c r="N254" s="201"/>
      <c r="O254" s="23">
        <f t="shared" si="57"/>
        <v>24010</v>
      </c>
      <c r="P254" s="23">
        <f t="shared" si="58"/>
        <v>21888</v>
      </c>
      <c r="Q254" s="203">
        <f t="shared" ref="Q254:Q260" si="61">P254/O254*100</f>
        <v>91.162015826738866</v>
      </c>
    </row>
    <row r="255" spans="2:17" x14ac:dyDescent="0.2">
      <c r="B255" s="72">
        <f t="shared" si="55"/>
        <v>247</v>
      </c>
      <c r="C255" s="4"/>
      <c r="D255" s="4"/>
      <c r="E255" s="4"/>
      <c r="F255" s="53" t="s">
        <v>269</v>
      </c>
      <c r="G255" s="4">
        <v>633</v>
      </c>
      <c r="H255" s="4" t="s">
        <v>131</v>
      </c>
      <c r="I255" s="23">
        <f>15241+1861-1324</f>
        <v>15778</v>
      </c>
      <c r="J255" s="23">
        <v>15778</v>
      </c>
      <c r="K255" s="198">
        <f t="shared" si="60"/>
        <v>100</v>
      </c>
      <c r="L255" s="23"/>
      <c r="M255" s="23"/>
      <c r="N255" s="201"/>
      <c r="O255" s="23">
        <f t="shared" si="57"/>
        <v>15778</v>
      </c>
      <c r="P255" s="23">
        <f t="shared" si="58"/>
        <v>15778</v>
      </c>
      <c r="Q255" s="203">
        <f t="shared" si="61"/>
        <v>100</v>
      </c>
    </row>
    <row r="256" spans="2:17" x14ac:dyDescent="0.2">
      <c r="B256" s="72">
        <f t="shared" si="55"/>
        <v>248</v>
      </c>
      <c r="C256" s="4"/>
      <c r="D256" s="4"/>
      <c r="E256" s="4"/>
      <c r="F256" s="53" t="s">
        <v>269</v>
      </c>
      <c r="G256" s="4">
        <v>634</v>
      </c>
      <c r="H256" s="4" t="s">
        <v>136</v>
      </c>
      <c r="I256" s="23">
        <f>2337+4</f>
        <v>2341</v>
      </c>
      <c r="J256" s="23">
        <v>2341</v>
      </c>
      <c r="K256" s="198">
        <f t="shared" si="60"/>
        <v>100</v>
      </c>
      <c r="L256" s="23"/>
      <c r="M256" s="23"/>
      <c r="N256" s="201"/>
      <c r="O256" s="23">
        <f t="shared" si="57"/>
        <v>2341</v>
      </c>
      <c r="P256" s="23">
        <f t="shared" si="58"/>
        <v>2341</v>
      </c>
      <c r="Q256" s="203">
        <f t="shared" si="61"/>
        <v>100</v>
      </c>
    </row>
    <row r="257" spans="2:17" x14ac:dyDescent="0.2">
      <c r="B257" s="72">
        <f t="shared" si="55"/>
        <v>249</v>
      </c>
      <c r="C257" s="4"/>
      <c r="D257" s="4"/>
      <c r="E257" s="4"/>
      <c r="F257" s="53" t="s">
        <v>269</v>
      </c>
      <c r="G257" s="4">
        <v>635</v>
      </c>
      <c r="H257" s="4" t="s">
        <v>137</v>
      </c>
      <c r="I257" s="23">
        <f>4386+1100+11</f>
        <v>5497</v>
      </c>
      <c r="J257" s="23">
        <v>5497</v>
      </c>
      <c r="K257" s="198">
        <f t="shared" si="60"/>
        <v>100</v>
      </c>
      <c r="L257" s="23"/>
      <c r="M257" s="23"/>
      <c r="N257" s="201"/>
      <c r="O257" s="23">
        <f t="shared" si="57"/>
        <v>5497</v>
      </c>
      <c r="P257" s="23">
        <f t="shared" si="58"/>
        <v>5497</v>
      </c>
      <c r="Q257" s="203">
        <f t="shared" si="61"/>
        <v>100</v>
      </c>
    </row>
    <row r="258" spans="2:17" x14ac:dyDescent="0.2">
      <c r="B258" s="72">
        <f t="shared" si="55"/>
        <v>250</v>
      </c>
      <c r="C258" s="4"/>
      <c r="D258" s="4"/>
      <c r="E258" s="4"/>
      <c r="F258" s="53" t="s">
        <v>269</v>
      </c>
      <c r="G258" s="4">
        <v>637</v>
      </c>
      <c r="H258" s="4" t="s">
        <v>128</v>
      </c>
      <c r="I258" s="23">
        <f>9604+3663-1083+795</f>
        <v>12979</v>
      </c>
      <c r="J258" s="23">
        <v>12919</v>
      </c>
      <c r="K258" s="198">
        <f t="shared" si="60"/>
        <v>99.537714770013096</v>
      </c>
      <c r="L258" s="23"/>
      <c r="M258" s="23"/>
      <c r="N258" s="201"/>
      <c r="O258" s="23">
        <f t="shared" si="57"/>
        <v>12979</v>
      </c>
      <c r="P258" s="23">
        <f t="shared" si="58"/>
        <v>12919</v>
      </c>
      <c r="Q258" s="203">
        <f t="shared" si="61"/>
        <v>99.537714770013096</v>
      </c>
    </row>
    <row r="259" spans="2:17" x14ac:dyDescent="0.2">
      <c r="B259" s="72">
        <f t="shared" si="55"/>
        <v>251</v>
      </c>
      <c r="C259" s="12"/>
      <c r="D259" s="12"/>
      <c r="E259" s="12"/>
      <c r="F259" s="52" t="s">
        <v>269</v>
      </c>
      <c r="G259" s="12">
        <v>640</v>
      </c>
      <c r="H259" s="12" t="s">
        <v>134</v>
      </c>
      <c r="I259" s="49">
        <f>147+483+116</f>
        <v>746</v>
      </c>
      <c r="J259" s="49">
        <v>746</v>
      </c>
      <c r="K259" s="198">
        <f t="shared" si="60"/>
        <v>100</v>
      </c>
      <c r="L259" s="49"/>
      <c r="M259" s="49"/>
      <c r="N259" s="201"/>
      <c r="O259" s="49">
        <f t="shared" si="57"/>
        <v>746</v>
      </c>
      <c r="P259" s="49">
        <f t="shared" si="58"/>
        <v>746</v>
      </c>
      <c r="Q259" s="203">
        <f t="shared" si="61"/>
        <v>100</v>
      </c>
    </row>
    <row r="260" spans="2:17" x14ac:dyDescent="0.2">
      <c r="B260" s="72">
        <f t="shared" si="55"/>
        <v>252</v>
      </c>
      <c r="C260" s="12"/>
      <c r="D260" s="12"/>
      <c r="E260" s="12"/>
      <c r="F260" s="52" t="s">
        <v>75</v>
      </c>
      <c r="G260" s="12">
        <v>630</v>
      </c>
      <c r="H260" s="12" t="s">
        <v>643</v>
      </c>
      <c r="I260" s="49">
        <f>19+96+68</f>
        <v>183</v>
      </c>
      <c r="J260" s="49">
        <v>184</v>
      </c>
      <c r="K260" s="198">
        <f t="shared" si="60"/>
        <v>100.5464480874317</v>
      </c>
      <c r="L260" s="49"/>
      <c r="M260" s="49"/>
      <c r="N260" s="201"/>
      <c r="O260" s="49">
        <f t="shared" si="57"/>
        <v>183</v>
      </c>
      <c r="P260" s="49">
        <f t="shared" si="58"/>
        <v>184</v>
      </c>
      <c r="Q260" s="203">
        <f t="shared" si="61"/>
        <v>100.5464480874317</v>
      </c>
    </row>
    <row r="261" spans="2:17" x14ac:dyDescent="0.2">
      <c r="B261" s="72">
        <f t="shared" si="55"/>
        <v>253</v>
      </c>
      <c r="C261" s="12"/>
      <c r="D261" s="12"/>
      <c r="E261" s="12"/>
      <c r="F261" s="52"/>
      <c r="G261" s="12"/>
      <c r="H261" s="12"/>
      <c r="I261" s="49"/>
      <c r="J261" s="49"/>
      <c r="K261" s="198"/>
      <c r="L261" s="49"/>
      <c r="M261" s="49"/>
      <c r="N261" s="201"/>
      <c r="O261" s="49"/>
      <c r="P261" s="49"/>
      <c r="Q261" s="203"/>
    </row>
    <row r="262" spans="2:17" x14ac:dyDescent="0.2">
      <c r="B262" s="72">
        <f t="shared" si="55"/>
        <v>254</v>
      </c>
      <c r="C262" s="12"/>
      <c r="D262" s="12"/>
      <c r="E262" s="12"/>
      <c r="F262" s="52"/>
      <c r="G262" s="12">
        <v>630</v>
      </c>
      <c r="H262" s="12" t="s">
        <v>596</v>
      </c>
      <c r="I262" s="49">
        <v>8576</v>
      </c>
      <c r="J262" s="49">
        <v>8576</v>
      </c>
      <c r="K262" s="198">
        <f t="shared" ref="K262:K282" si="62">J262/I262*100</f>
        <v>100</v>
      </c>
      <c r="L262" s="49"/>
      <c r="M262" s="49"/>
      <c r="N262" s="201"/>
      <c r="O262" s="49">
        <f t="shared" ref="O262:O282" si="63">L262+I262</f>
        <v>8576</v>
      </c>
      <c r="P262" s="49">
        <f t="shared" ref="P262:P282" si="64">M262+J262</f>
        <v>8576</v>
      </c>
      <c r="Q262" s="203">
        <f t="shared" ref="Q262:Q282" si="65">P262/O262*100</f>
        <v>100</v>
      </c>
    </row>
    <row r="263" spans="2:17" ht="15" x14ac:dyDescent="0.25">
      <c r="B263" s="72">
        <f t="shared" si="55"/>
        <v>255</v>
      </c>
      <c r="C263" s="15"/>
      <c r="D263" s="15"/>
      <c r="E263" s="15">
        <v>7</v>
      </c>
      <c r="F263" s="50"/>
      <c r="G263" s="15"/>
      <c r="H263" s="15" t="s">
        <v>315</v>
      </c>
      <c r="I263" s="47">
        <f>I264+I265+I266+I272+I273+I274+I275+I281+I286+I284+I282</f>
        <v>1046928</v>
      </c>
      <c r="J263" s="47">
        <f>J264+J265+J266+J272+J273+J274+J275+J281+J282+J284</f>
        <v>1045357</v>
      </c>
      <c r="K263" s="198">
        <f t="shared" si="62"/>
        <v>99.849941925328196</v>
      </c>
      <c r="L263" s="47">
        <f>L264+L265+L266+L272+L273+L274+L275+L281+L286+L289</f>
        <v>18000</v>
      </c>
      <c r="M263" s="47">
        <f>M264+M265+M266+M272+M273+M274+M275+M281+M286+M289</f>
        <v>1000</v>
      </c>
      <c r="N263" s="201">
        <f t="shared" ref="N263:N294" si="66">M263/L263*100</f>
        <v>5.5555555555555554</v>
      </c>
      <c r="O263" s="47">
        <f t="shared" si="63"/>
        <v>1064928</v>
      </c>
      <c r="P263" s="47">
        <f t="shared" si="64"/>
        <v>1046357</v>
      </c>
      <c r="Q263" s="203">
        <f t="shared" si="65"/>
        <v>98.256126235764299</v>
      </c>
    </row>
    <row r="264" spans="2:17" x14ac:dyDescent="0.2">
      <c r="B264" s="72">
        <f t="shared" si="55"/>
        <v>256</v>
      </c>
      <c r="C264" s="12"/>
      <c r="D264" s="12"/>
      <c r="E264" s="12"/>
      <c r="F264" s="52" t="s">
        <v>125</v>
      </c>
      <c r="G264" s="12">
        <v>610</v>
      </c>
      <c r="H264" s="12" t="s">
        <v>135</v>
      </c>
      <c r="I264" s="49">
        <f>240508+17941</f>
        <v>258449</v>
      </c>
      <c r="J264" s="49">
        <v>258449</v>
      </c>
      <c r="K264" s="198">
        <f t="shared" si="62"/>
        <v>100</v>
      </c>
      <c r="L264" s="49"/>
      <c r="M264" s="49"/>
      <c r="N264" s="201"/>
      <c r="O264" s="49">
        <f t="shared" si="63"/>
        <v>258449</v>
      </c>
      <c r="P264" s="49">
        <f t="shared" si="64"/>
        <v>258449</v>
      </c>
      <c r="Q264" s="203">
        <f t="shared" si="65"/>
        <v>100</v>
      </c>
    </row>
    <row r="265" spans="2:17" x14ac:dyDescent="0.2">
      <c r="B265" s="72">
        <f t="shared" si="55"/>
        <v>257</v>
      </c>
      <c r="C265" s="12"/>
      <c r="D265" s="12"/>
      <c r="E265" s="12"/>
      <c r="F265" s="52" t="s">
        <v>125</v>
      </c>
      <c r="G265" s="12">
        <v>620</v>
      </c>
      <c r="H265" s="12" t="s">
        <v>130</v>
      </c>
      <c r="I265" s="49">
        <f>84658+3756</f>
        <v>88414</v>
      </c>
      <c r="J265" s="49">
        <v>88414</v>
      </c>
      <c r="K265" s="198">
        <f t="shared" si="62"/>
        <v>100</v>
      </c>
      <c r="L265" s="49"/>
      <c r="M265" s="49"/>
      <c r="N265" s="201"/>
      <c r="O265" s="49">
        <f t="shared" si="63"/>
        <v>88414</v>
      </c>
      <c r="P265" s="49">
        <f t="shared" si="64"/>
        <v>88414</v>
      </c>
      <c r="Q265" s="203">
        <f t="shared" si="65"/>
        <v>100</v>
      </c>
    </row>
    <row r="266" spans="2:17" x14ac:dyDescent="0.2">
      <c r="B266" s="72">
        <f t="shared" si="55"/>
        <v>258</v>
      </c>
      <c r="C266" s="12"/>
      <c r="D266" s="12"/>
      <c r="E266" s="12"/>
      <c r="F266" s="52" t="s">
        <v>125</v>
      </c>
      <c r="G266" s="12">
        <v>630</v>
      </c>
      <c r="H266" s="12" t="s">
        <v>127</v>
      </c>
      <c r="I266" s="49">
        <f>I271+I270+I269+I268+I267</f>
        <v>66362</v>
      </c>
      <c r="J266" s="49">
        <f>J271+J270+J269+J268+J267</f>
        <v>65580</v>
      </c>
      <c r="K266" s="198">
        <f t="shared" si="62"/>
        <v>98.821614779542514</v>
      </c>
      <c r="L266" s="49">
        <v>0</v>
      </c>
      <c r="M266" s="49"/>
      <c r="N266" s="201"/>
      <c r="O266" s="49">
        <f t="shared" si="63"/>
        <v>66362</v>
      </c>
      <c r="P266" s="49">
        <f t="shared" si="64"/>
        <v>65580</v>
      </c>
      <c r="Q266" s="203">
        <f t="shared" si="65"/>
        <v>98.821614779542514</v>
      </c>
    </row>
    <row r="267" spans="2:17" x14ac:dyDescent="0.2">
      <c r="B267" s="72">
        <f t="shared" si="55"/>
        <v>259</v>
      </c>
      <c r="C267" s="4"/>
      <c r="D267" s="4"/>
      <c r="E267" s="4"/>
      <c r="F267" s="53" t="s">
        <v>125</v>
      </c>
      <c r="G267" s="4">
        <v>631</v>
      </c>
      <c r="H267" s="4" t="s">
        <v>133</v>
      </c>
      <c r="I267" s="23">
        <v>113</v>
      </c>
      <c r="J267" s="23">
        <v>113</v>
      </c>
      <c r="K267" s="198">
        <f t="shared" si="62"/>
        <v>100</v>
      </c>
      <c r="L267" s="23"/>
      <c r="M267" s="23"/>
      <c r="N267" s="201"/>
      <c r="O267" s="23">
        <f t="shared" si="63"/>
        <v>113</v>
      </c>
      <c r="P267" s="23">
        <f t="shared" si="64"/>
        <v>113</v>
      </c>
      <c r="Q267" s="203">
        <f t="shared" si="65"/>
        <v>100</v>
      </c>
    </row>
    <row r="268" spans="2:17" x14ac:dyDescent="0.2">
      <c r="B268" s="72">
        <f t="shared" si="55"/>
        <v>260</v>
      </c>
      <c r="C268" s="4"/>
      <c r="D268" s="4"/>
      <c r="E268" s="4"/>
      <c r="F268" s="53" t="s">
        <v>125</v>
      </c>
      <c r="G268" s="4">
        <v>632</v>
      </c>
      <c r="H268" s="4" t="s">
        <v>138</v>
      </c>
      <c r="I268" s="23">
        <f>24300-12500</f>
        <v>11800</v>
      </c>
      <c r="J268" s="23">
        <v>11800</v>
      </c>
      <c r="K268" s="198">
        <f t="shared" si="62"/>
        <v>100</v>
      </c>
      <c r="L268" s="23"/>
      <c r="M268" s="23"/>
      <c r="N268" s="201"/>
      <c r="O268" s="23">
        <f t="shared" si="63"/>
        <v>11800</v>
      </c>
      <c r="P268" s="23">
        <f t="shared" si="64"/>
        <v>11800</v>
      </c>
      <c r="Q268" s="203">
        <f t="shared" si="65"/>
        <v>100</v>
      </c>
    </row>
    <row r="269" spans="2:17" x14ac:dyDescent="0.2">
      <c r="B269" s="72">
        <f t="shared" si="55"/>
        <v>261</v>
      </c>
      <c r="C269" s="4"/>
      <c r="D269" s="4"/>
      <c r="E269" s="4"/>
      <c r="F269" s="53" t="s">
        <v>125</v>
      </c>
      <c r="G269" s="4">
        <v>633</v>
      </c>
      <c r="H269" s="4" t="s">
        <v>131</v>
      </c>
      <c r="I269" s="23">
        <f>23414-370+580</f>
        <v>23624</v>
      </c>
      <c r="J269" s="23">
        <v>22942</v>
      </c>
      <c r="K269" s="198">
        <f t="shared" si="62"/>
        <v>97.113105316627156</v>
      </c>
      <c r="L269" s="23"/>
      <c r="M269" s="23"/>
      <c r="N269" s="201"/>
      <c r="O269" s="23">
        <f t="shared" si="63"/>
        <v>23624</v>
      </c>
      <c r="P269" s="23">
        <f t="shared" si="64"/>
        <v>22942</v>
      </c>
      <c r="Q269" s="203">
        <f t="shared" si="65"/>
        <v>97.113105316627156</v>
      </c>
    </row>
    <row r="270" spans="2:17" x14ac:dyDescent="0.2">
      <c r="B270" s="72">
        <f t="shared" si="55"/>
        <v>262</v>
      </c>
      <c r="C270" s="4"/>
      <c r="D270" s="4"/>
      <c r="E270" s="4"/>
      <c r="F270" s="53" t="s">
        <v>125</v>
      </c>
      <c r="G270" s="4">
        <v>635</v>
      </c>
      <c r="H270" s="4" t="s">
        <v>137</v>
      </c>
      <c r="I270" s="23">
        <f>10350+2500+245</f>
        <v>13095</v>
      </c>
      <c r="J270" s="23">
        <v>13095</v>
      </c>
      <c r="K270" s="198">
        <f t="shared" si="62"/>
        <v>100</v>
      </c>
      <c r="L270" s="23"/>
      <c r="M270" s="23"/>
      <c r="N270" s="201"/>
      <c r="O270" s="23">
        <f t="shared" si="63"/>
        <v>13095</v>
      </c>
      <c r="P270" s="23">
        <f t="shared" si="64"/>
        <v>13095</v>
      </c>
      <c r="Q270" s="203">
        <f t="shared" si="65"/>
        <v>100</v>
      </c>
    </row>
    <row r="271" spans="2:17" x14ac:dyDescent="0.2">
      <c r="B271" s="72">
        <f t="shared" ref="B271:B309" si="67">B270+1</f>
        <v>263</v>
      </c>
      <c r="C271" s="4"/>
      <c r="D271" s="4"/>
      <c r="E271" s="4"/>
      <c r="F271" s="53" t="s">
        <v>125</v>
      </c>
      <c r="G271" s="4">
        <v>637</v>
      </c>
      <c r="H271" s="4" t="s">
        <v>128</v>
      </c>
      <c r="I271" s="23">
        <f>14130+3600</f>
        <v>17730</v>
      </c>
      <c r="J271" s="23">
        <v>17630</v>
      </c>
      <c r="K271" s="198">
        <f t="shared" si="62"/>
        <v>99.435984207557809</v>
      </c>
      <c r="L271" s="23"/>
      <c r="M271" s="23"/>
      <c r="N271" s="201"/>
      <c r="O271" s="23">
        <f t="shared" si="63"/>
        <v>17730</v>
      </c>
      <c r="P271" s="23">
        <f t="shared" si="64"/>
        <v>17630</v>
      </c>
      <c r="Q271" s="203">
        <f t="shared" si="65"/>
        <v>99.435984207557809</v>
      </c>
    </row>
    <row r="272" spans="2:17" x14ac:dyDescent="0.2">
      <c r="B272" s="72">
        <f t="shared" si="67"/>
        <v>264</v>
      </c>
      <c r="C272" s="12"/>
      <c r="D272" s="12"/>
      <c r="E272" s="12"/>
      <c r="F272" s="52" t="s">
        <v>125</v>
      </c>
      <c r="G272" s="12">
        <v>640</v>
      </c>
      <c r="H272" s="12" t="s">
        <v>134</v>
      </c>
      <c r="I272" s="49">
        <f>653+250+2802</f>
        <v>3705</v>
      </c>
      <c r="J272" s="49">
        <v>3714</v>
      </c>
      <c r="K272" s="198">
        <f t="shared" si="62"/>
        <v>100.24291497975707</v>
      </c>
      <c r="L272" s="49"/>
      <c r="M272" s="49"/>
      <c r="N272" s="201"/>
      <c r="O272" s="49">
        <f t="shared" si="63"/>
        <v>3705</v>
      </c>
      <c r="P272" s="49">
        <f t="shared" si="64"/>
        <v>3714</v>
      </c>
      <c r="Q272" s="203">
        <f t="shared" si="65"/>
        <v>100.24291497975707</v>
      </c>
    </row>
    <row r="273" spans="2:17" x14ac:dyDescent="0.2">
      <c r="B273" s="72">
        <f t="shared" si="67"/>
        <v>265</v>
      </c>
      <c r="C273" s="12"/>
      <c r="D273" s="12"/>
      <c r="E273" s="12"/>
      <c r="F273" s="52" t="s">
        <v>249</v>
      </c>
      <c r="G273" s="12">
        <v>610</v>
      </c>
      <c r="H273" s="12" t="s">
        <v>135</v>
      </c>
      <c r="I273" s="49">
        <f>384940+6446</f>
        <v>391386</v>
      </c>
      <c r="J273" s="49">
        <v>391386</v>
      </c>
      <c r="K273" s="198">
        <f t="shared" si="62"/>
        <v>100</v>
      </c>
      <c r="L273" s="49"/>
      <c r="M273" s="49"/>
      <c r="N273" s="201"/>
      <c r="O273" s="49">
        <f t="shared" si="63"/>
        <v>391386</v>
      </c>
      <c r="P273" s="49">
        <f t="shared" si="64"/>
        <v>391386</v>
      </c>
      <c r="Q273" s="203">
        <f t="shared" si="65"/>
        <v>100</v>
      </c>
    </row>
    <row r="274" spans="2:17" x14ac:dyDescent="0.2">
      <c r="B274" s="72">
        <f t="shared" si="67"/>
        <v>266</v>
      </c>
      <c r="C274" s="12"/>
      <c r="D274" s="12"/>
      <c r="E274" s="12"/>
      <c r="F274" s="52" t="s">
        <v>269</v>
      </c>
      <c r="G274" s="12">
        <v>620</v>
      </c>
      <c r="H274" s="12" t="s">
        <v>130</v>
      </c>
      <c r="I274" s="49">
        <f>135501+2879</f>
        <v>138380</v>
      </c>
      <c r="J274" s="49">
        <v>138380</v>
      </c>
      <c r="K274" s="198">
        <f t="shared" si="62"/>
        <v>100</v>
      </c>
      <c r="L274" s="49"/>
      <c r="M274" s="49"/>
      <c r="N274" s="201"/>
      <c r="O274" s="49">
        <f t="shared" si="63"/>
        <v>138380</v>
      </c>
      <c r="P274" s="49">
        <f t="shared" si="64"/>
        <v>138380</v>
      </c>
      <c r="Q274" s="203">
        <f t="shared" si="65"/>
        <v>100</v>
      </c>
    </row>
    <row r="275" spans="2:17" x14ac:dyDescent="0.2">
      <c r="B275" s="72">
        <f t="shared" si="67"/>
        <v>267</v>
      </c>
      <c r="C275" s="12"/>
      <c r="D275" s="12"/>
      <c r="E275" s="12"/>
      <c r="F275" s="52" t="s">
        <v>269</v>
      </c>
      <c r="G275" s="12">
        <v>630</v>
      </c>
      <c r="H275" s="12" t="s">
        <v>127</v>
      </c>
      <c r="I275" s="49">
        <f>I280+I279+I278+I277+I276</f>
        <v>94564</v>
      </c>
      <c r="J275" s="49">
        <f>J280+J279+J278+J277+J276</f>
        <v>93766</v>
      </c>
      <c r="K275" s="198">
        <f t="shared" si="62"/>
        <v>99.15612706738294</v>
      </c>
      <c r="L275" s="49">
        <f>L280+L279+L278+L277+L276</f>
        <v>0</v>
      </c>
      <c r="M275" s="49">
        <f>M280+M279+M278+M277+M276</f>
        <v>0</v>
      </c>
      <c r="N275" s="201"/>
      <c r="O275" s="49">
        <f t="shared" si="63"/>
        <v>94564</v>
      </c>
      <c r="P275" s="49">
        <f t="shared" si="64"/>
        <v>93766</v>
      </c>
      <c r="Q275" s="203">
        <f t="shared" si="65"/>
        <v>99.15612706738294</v>
      </c>
    </row>
    <row r="276" spans="2:17" x14ac:dyDescent="0.2">
      <c r="B276" s="72">
        <f t="shared" si="67"/>
        <v>268</v>
      </c>
      <c r="C276" s="4"/>
      <c r="D276" s="4"/>
      <c r="E276" s="4"/>
      <c r="F276" s="53" t="s">
        <v>269</v>
      </c>
      <c r="G276" s="4">
        <v>631</v>
      </c>
      <c r="H276" s="4" t="s">
        <v>133</v>
      </c>
      <c r="I276" s="23">
        <f>137+100+61</f>
        <v>298</v>
      </c>
      <c r="J276" s="23">
        <v>298</v>
      </c>
      <c r="K276" s="198">
        <f t="shared" si="62"/>
        <v>100</v>
      </c>
      <c r="L276" s="23"/>
      <c r="M276" s="23"/>
      <c r="N276" s="201"/>
      <c r="O276" s="23">
        <f t="shared" si="63"/>
        <v>298</v>
      </c>
      <c r="P276" s="23">
        <f t="shared" si="64"/>
        <v>298</v>
      </c>
      <c r="Q276" s="203">
        <f t="shared" si="65"/>
        <v>100</v>
      </c>
    </row>
    <row r="277" spans="2:17" x14ac:dyDescent="0.2">
      <c r="B277" s="72">
        <f t="shared" si="67"/>
        <v>269</v>
      </c>
      <c r="C277" s="4"/>
      <c r="D277" s="4"/>
      <c r="E277" s="4"/>
      <c r="F277" s="53" t="s">
        <v>269</v>
      </c>
      <c r="G277" s="4">
        <v>632</v>
      </c>
      <c r="H277" s="4" t="s">
        <v>138</v>
      </c>
      <c r="I277" s="23">
        <f>31700-17500</f>
        <v>14200</v>
      </c>
      <c r="J277" s="23">
        <v>14200</v>
      </c>
      <c r="K277" s="198">
        <f t="shared" si="62"/>
        <v>100</v>
      </c>
      <c r="L277" s="23"/>
      <c r="M277" s="23"/>
      <c r="N277" s="201"/>
      <c r="O277" s="23">
        <f t="shared" si="63"/>
        <v>14200</v>
      </c>
      <c r="P277" s="23">
        <f t="shared" si="64"/>
        <v>14200</v>
      </c>
      <c r="Q277" s="203">
        <f t="shared" si="65"/>
        <v>100</v>
      </c>
    </row>
    <row r="278" spans="2:17" x14ac:dyDescent="0.2">
      <c r="B278" s="72">
        <f t="shared" si="67"/>
        <v>270</v>
      </c>
      <c r="C278" s="4"/>
      <c r="D278" s="4"/>
      <c r="E278" s="4"/>
      <c r="F278" s="53" t="s">
        <v>269</v>
      </c>
      <c r="G278" s="4">
        <v>633</v>
      </c>
      <c r="H278" s="4" t="s">
        <v>131</v>
      </c>
      <c r="I278" s="23">
        <f>38552+200-7300</f>
        <v>31452</v>
      </c>
      <c r="J278" s="23">
        <v>31157</v>
      </c>
      <c r="K278" s="198">
        <f t="shared" si="62"/>
        <v>99.06206282589342</v>
      </c>
      <c r="L278" s="23"/>
      <c r="M278" s="23"/>
      <c r="N278" s="201"/>
      <c r="O278" s="23">
        <f t="shared" si="63"/>
        <v>31452</v>
      </c>
      <c r="P278" s="23">
        <f t="shared" si="64"/>
        <v>31157</v>
      </c>
      <c r="Q278" s="203">
        <f t="shared" si="65"/>
        <v>99.06206282589342</v>
      </c>
    </row>
    <row r="279" spans="2:17" x14ac:dyDescent="0.2">
      <c r="B279" s="72">
        <f t="shared" si="67"/>
        <v>271</v>
      </c>
      <c r="C279" s="4"/>
      <c r="D279" s="4"/>
      <c r="E279" s="4"/>
      <c r="F279" s="53" t="s">
        <v>269</v>
      </c>
      <c r="G279" s="4">
        <v>635</v>
      </c>
      <c r="H279" s="4" t="s">
        <v>137</v>
      </c>
      <c r="I279" s="23">
        <f>12650+2500</f>
        <v>15150</v>
      </c>
      <c r="J279" s="23">
        <v>14304</v>
      </c>
      <c r="K279" s="198">
        <f t="shared" si="62"/>
        <v>94.415841584158414</v>
      </c>
      <c r="L279" s="23"/>
      <c r="M279" s="23"/>
      <c r="N279" s="201"/>
      <c r="O279" s="23">
        <f t="shared" si="63"/>
        <v>15150</v>
      </c>
      <c r="P279" s="23">
        <f t="shared" si="64"/>
        <v>14304</v>
      </c>
      <c r="Q279" s="203">
        <f t="shared" si="65"/>
        <v>94.415841584158414</v>
      </c>
    </row>
    <row r="280" spans="2:17" x14ac:dyDescent="0.2">
      <c r="B280" s="72">
        <f t="shared" si="67"/>
        <v>272</v>
      </c>
      <c r="C280" s="4"/>
      <c r="D280" s="4"/>
      <c r="E280" s="4"/>
      <c r="F280" s="53" t="s">
        <v>269</v>
      </c>
      <c r="G280" s="4">
        <v>637</v>
      </c>
      <c r="H280" s="4" t="s">
        <v>128</v>
      </c>
      <c r="I280" s="23">
        <f>17270+9600+6900-306</f>
        <v>33464</v>
      </c>
      <c r="J280" s="23">
        <v>33807</v>
      </c>
      <c r="K280" s="198">
        <f t="shared" si="62"/>
        <v>101.02498207028448</v>
      </c>
      <c r="L280" s="23"/>
      <c r="M280" s="23"/>
      <c r="N280" s="201"/>
      <c r="O280" s="23">
        <f t="shared" si="63"/>
        <v>33464</v>
      </c>
      <c r="P280" s="23">
        <f t="shared" si="64"/>
        <v>33807</v>
      </c>
      <c r="Q280" s="203">
        <f t="shared" si="65"/>
        <v>101.02498207028448</v>
      </c>
    </row>
    <row r="281" spans="2:17" x14ac:dyDescent="0.2">
      <c r="B281" s="72">
        <f t="shared" si="67"/>
        <v>273</v>
      </c>
      <c r="C281" s="12"/>
      <c r="D281" s="12"/>
      <c r="E281" s="12"/>
      <c r="F281" s="52" t="s">
        <v>269</v>
      </c>
      <c r="G281" s="12">
        <v>640</v>
      </c>
      <c r="H281" s="12" t="s">
        <v>134</v>
      </c>
      <c r="I281" s="49">
        <f>797+1215</f>
        <v>2012</v>
      </c>
      <c r="J281" s="49">
        <v>2012</v>
      </c>
      <c r="K281" s="198">
        <f t="shared" si="62"/>
        <v>100</v>
      </c>
      <c r="L281" s="49"/>
      <c r="M281" s="49"/>
      <c r="N281" s="201"/>
      <c r="O281" s="49">
        <f t="shared" si="63"/>
        <v>2012</v>
      </c>
      <c r="P281" s="49">
        <f t="shared" si="64"/>
        <v>2012</v>
      </c>
      <c r="Q281" s="203">
        <f t="shared" si="65"/>
        <v>100</v>
      </c>
    </row>
    <row r="282" spans="2:17" x14ac:dyDescent="0.2">
      <c r="B282" s="72">
        <f t="shared" si="67"/>
        <v>274</v>
      </c>
      <c r="C282" s="12"/>
      <c r="D282" s="12"/>
      <c r="E282" s="12"/>
      <c r="F282" s="52" t="s">
        <v>75</v>
      </c>
      <c r="G282" s="12">
        <v>630</v>
      </c>
      <c r="H282" s="12" t="s">
        <v>643</v>
      </c>
      <c r="I282" s="49">
        <f>946-430</f>
        <v>516</v>
      </c>
      <c r="J282" s="49">
        <v>516</v>
      </c>
      <c r="K282" s="198">
        <f t="shared" si="62"/>
        <v>100</v>
      </c>
      <c r="L282" s="49"/>
      <c r="M282" s="49"/>
      <c r="N282" s="201"/>
      <c r="O282" s="49">
        <f t="shared" si="63"/>
        <v>516</v>
      </c>
      <c r="P282" s="49">
        <f t="shared" si="64"/>
        <v>516</v>
      </c>
      <c r="Q282" s="203">
        <f t="shared" si="65"/>
        <v>100</v>
      </c>
    </row>
    <row r="283" spans="2:17" x14ac:dyDescent="0.2">
      <c r="B283" s="72">
        <f t="shared" si="67"/>
        <v>275</v>
      </c>
      <c r="C283" s="12"/>
      <c r="D283" s="12"/>
      <c r="E283" s="12"/>
      <c r="F283" s="52"/>
      <c r="G283" s="12"/>
      <c r="H283" s="12"/>
      <c r="I283" s="49"/>
      <c r="J283" s="49"/>
      <c r="K283" s="198"/>
      <c r="L283" s="49"/>
      <c r="M283" s="49"/>
      <c r="N283" s="201"/>
      <c r="O283" s="49"/>
      <c r="P283" s="49"/>
      <c r="Q283" s="203"/>
    </row>
    <row r="284" spans="2:17" x14ac:dyDescent="0.2">
      <c r="B284" s="72">
        <f t="shared" si="67"/>
        <v>276</v>
      </c>
      <c r="C284" s="12"/>
      <c r="D284" s="12"/>
      <c r="E284" s="12"/>
      <c r="F284" s="52"/>
      <c r="G284" s="12">
        <v>630</v>
      </c>
      <c r="H284" s="12" t="s">
        <v>596</v>
      </c>
      <c r="I284" s="49">
        <v>3140</v>
      </c>
      <c r="J284" s="49">
        <v>3140</v>
      </c>
      <c r="K284" s="198">
        <f>J284/I284*100</f>
        <v>100</v>
      </c>
      <c r="L284" s="49"/>
      <c r="M284" s="49"/>
      <c r="N284" s="201"/>
      <c r="O284" s="49">
        <f>L284+I284</f>
        <v>3140</v>
      </c>
      <c r="P284" s="49">
        <f>M284+J284</f>
        <v>3140</v>
      </c>
      <c r="Q284" s="203">
        <f>P284/O284*100</f>
        <v>100</v>
      </c>
    </row>
    <row r="285" spans="2:17" x14ac:dyDescent="0.2">
      <c r="B285" s="72">
        <f t="shared" si="67"/>
        <v>277</v>
      </c>
      <c r="C285" s="12"/>
      <c r="D285" s="12"/>
      <c r="E285" s="12"/>
      <c r="F285" s="52"/>
      <c r="G285" s="12"/>
      <c r="H285" s="12"/>
      <c r="I285" s="49"/>
      <c r="J285" s="49"/>
      <c r="K285" s="198"/>
      <c r="L285" s="49"/>
      <c r="M285" s="49"/>
      <c r="N285" s="201"/>
      <c r="O285" s="49"/>
      <c r="P285" s="49"/>
      <c r="Q285" s="203"/>
    </row>
    <row r="286" spans="2:17" x14ac:dyDescent="0.2">
      <c r="B286" s="72">
        <f t="shared" si="67"/>
        <v>278</v>
      </c>
      <c r="C286" s="12"/>
      <c r="D286" s="12"/>
      <c r="E286" s="12"/>
      <c r="F286" s="52" t="s">
        <v>125</v>
      </c>
      <c r="G286" s="12">
        <v>710</v>
      </c>
      <c r="H286" s="12" t="s">
        <v>183</v>
      </c>
      <c r="I286" s="49">
        <v>0</v>
      </c>
      <c r="J286" s="49">
        <v>0</v>
      </c>
      <c r="K286" s="198"/>
      <c r="L286" s="49">
        <f>L287</f>
        <v>5000</v>
      </c>
      <c r="M286" s="49">
        <f>M287</f>
        <v>0</v>
      </c>
      <c r="N286" s="201">
        <f t="shared" si="66"/>
        <v>0</v>
      </c>
      <c r="O286" s="49">
        <f t="shared" ref="O286:P289" si="68">L286+I286</f>
        <v>5000</v>
      </c>
      <c r="P286" s="49">
        <f t="shared" si="68"/>
        <v>0</v>
      </c>
      <c r="Q286" s="203">
        <f t="shared" ref="Q286:Q296" si="69">P286/O286*100</f>
        <v>0</v>
      </c>
    </row>
    <row r="287" spans="2:17" x14ac:dyDescent="0.2">
      <c r="B287" s="72">
        <f t="shared" si="67"/>
        <v>279</v>
      </c>
      <c r="C287" s="4"/>
      <c r="D287" s="4"/>
      <c r="E287" s="4"/>
      <c r="F287" s="82" t="s">
        <v>125</v>
      </c>
      <c r="G287" s="83">
        <v>716</v>
      </c>
      <c r="H287" s="83" t="s">
        <v>0</v>
      </c>
      <c r="I287" s="84"/>
      <c r="J287" s="84"/>
      <c r="K287" s="198"/>
      <c r="L287" s="84">
        <f>SUM(L288:L288)</f>
        <v>5000</v>
      </c>
      <c r="M287" s="84">
        <f>SUM(M288:M288)</f>
        <v>0</v>
      </c>
      <c r="N287" s="201">
        <f t="shared" si="66"/>
        <v>0</v>
      </c>
      <c r="O287" s="84">
        <f t="shared" si="68"/>
        <v>5000</v>
      </c>
      <c r="P287" s="84">
        <f t="shared" si="68"/>
        <v>0</v>
      </c>
      <c r="Q287" s="203">
        <f t="shared" si="69"/>
        <v>0</v>
      </c>
    </row>
    <row r="288" spans="2:17" x14ac:dyDescent="0.2">
      <c r="B288" s="72">
        <f t="shared" si="67"/>
        <v>280</v>
      </c>
      <c r="C288" s="4"/>
      <c r="D288" s="4"/>
      <c r="E288" s="4"/>
      <c r="F288" s="64"/>
      <c r="G288" s="60"/>
      <c r="H288" s="60" t="s">
        <v>496</v>
      </c>
      <c r="I288" s="58"/>
      <c r="J288" s="58"/>
      <c r="K288" s="198"/>
      <c r="L288" s="58">
        <v>5000</v>
      </c>
      <c r="M288" s="58"/>
      <c r="N288" s="201">
        <f t="shared" si="66"/>
        <v>0</v>
      </c>
      <c r="O288" s="23">
        <f t="shared" si="68"/>
        <v>5000</v>
      </c>
      <c r="P288" s="23">
        <f t="shared" si="68"/>
        <v>0</v>
      </c>
      <c r="Q288" s="203">
        <f t="shared" si="69"/>
        <v>0</v>
      </c>
    </row>
    <row r="289" spans="2:17" x14ac:dyDescent="0.2">
      <c r="B289" s="72">
        <f t="shared" si="67"/>
        <v>281</v>
      </c>
      <c r="C289" s="4"/>
      <c r="D289" s="4"/>
      <c r="E289" s="4"/>
      <c r="F289" s="52" t="s">
        <v>269</v>
      </c>
      <c r="G289" s="12">
        <v>710</v>
      </c>
      <c r="H289" s="12" t="s">
        <v>183</v>
      </c>
      <c r="I289" s="49">
        <v>0</v>
      </c>
      <c r="J289" s="49">
        <v>0</v>
      </c>
      <c r="K289" s="198"/>
      <c r="L289" s="49">
        <f>L290</f>
        <v>13000</v>
      </c>
      <c r="M289" s="49">
        <f>M290</f>
        <v>1000</v>
      </c>
      <c r="N289" s="201">
        <f t="shared" si="66"/>
        <v>7.6923076923076925</v>
      </c>
      <c r="O289" s="49">
        <f t="shared" si="68"/>
        <v>13000</v>
      </c>
      <c r="P289" s="49">
        <f t="shared" si="68"/>
        <v>1000</v>
      </c>
      <c r="Q289" s="203">
        <f t="shared" si="69"/>
        <v>7.6923076923076925</v>
      </c>
    </row>
    <row r="290" spans="2:17" x14ac:dyDescent="0.2">
      <c r="B290" s="72">
        <f t="shared" si="67"/>
        <v>282</v>
      </c>
      <c r="C290" s="4"/>
      <c r="D290" s="4"/>
      <c r="E290" s="4"/>
      <c r="F290" s="82" t="s">
        <v>269</v>
      </c>
      <c r="G290" s="83">
        <v>717</v>
      </c>
      <c r="H290" s="83" t="s">
        <v>193</v>
      </c>
      <c r="I290" s="84"/>
      <c r="J290" s="84"/>
      <c r="K290" s="198"/>
      <c r="L290" s="84">
        <f>SUM(L291:L310)</f>
        <v>13000</v>
      </c>
      <c r="M290" s="84">
        <f>SUM(M291:M310)</f>
        <v>1000</v>
      </c>
      <c r="N290" s="201">
        <f t="shared" si="66"/>
        <v>7.6923076923076925</v>
      </c>
      <c r="O290" s="84">
        <f t="shared" ref="O290:P292" si="70">I290+L290</f>
        <v>13000</v>
      </c>
      <c r="P290" s="84">
        <f t="shared" si="70"/>
        <v>1000</v>
      </c>
      <c r="Q290" s="203">
        <f t="shared" si="69"/>
        <v>7.6923076923076925</v>
      </c>
    </row>
    <row r="291" spans="2:17" x14ac:dyDescent="0.2">
      <c r="B291" s="72">
        <f t="shared" si="67"/>
        <v>283</v>
      </c>
      <c r="C291" s="4"/>
      <c r="D291" s="4"/>
      <c r="E291" s="4"/>
      <c r="F291" s="64"/>
      <c r="G291" s="60"/>
      <c r="H291" s="60" t="s">
        <v>502</v>
      </c>
      <c r="I291" s="58"/>
      <c r="J291" s="58"/>
      <c r="K291" s="198"/>
      <c r="L291" s="58">
        <v>1000</v>
      </c>
      <c r="M291" s="58">
        <v>1000</v>
      </c>
      <c r="N291" s="201">
        <f t="shared" si="66"/>
        <v>100</v>
      </c>
      <c r="O291" s="23">
        <f t="shared" si="70"/>
        <v>1000</v>
      </c>
      <c r="P291" s="23">
        <f t="shared" si="70"/>
        <v>1000</v>
      </c>
      <c r="Q291" s="203">
        <f t="shared" si="69"/>
        <v>100</v>
      </c>
    </row>
    <row r="292" spans="2:17" x14ac:dyDescent="0.2">
      <c r="B292" s="72">
        <f t="shared" si="67"/>
        <v>284</v>
      </c>
      <c r="C292" s="4"/>
      <c r="D292" s="4"/>
      <c r="E292" s="4"/>
      <c r="F292" s="64"/>
      <c r="G292" s="60"/>
      <c r="H292" s="60" t="s">
        <v>649</v>
      </c>
      <c r="I292" s="58"/>
      <c r="J292" s="58"/>
      <c r="K292" s="198"/>
      <c r="L292" s="58">
        <v>12000</v>
      </c>
      <c r="M292" s="58"/>
      <c r="N292" s="201">
        <f t="shared" si="66"/>
        <v>0</v>
      </c>
      <c r="O292" s="23">
        <f t="shared" si="70"/>
        <v>12000</v>
      </c>
      <c r="P292" s="23">
        <f t="shared" si="70"/>
        <v>0</v>
      </c>
      <c r="Q292" s="203">
        <f t="shared" si="69"/>
        <v>0</v>
      </c>
    </row>
    <row r="293" spans="2:17" ht="15" x14ac:dyDescent="0.25">
      <c r="B293" s="72">
        <f t="shared" si="67"/>
        <v>285</v>
      </c>
      <c r="C293" s="15"/>
      <c r="D293" s="15"/>
      <c r="E293" s="15">
        <v>8</v>
      </c>
      <c r="F293" s="50"/>
      <c r="G293" s="15"/>
      <c r="H293" s="15" t="s">
        <v>313</v>
      </c>
      <c r="I293" s="47">
        <f>I294+I295+I296+I301+I302+I303+I304+I310+I313+I311</f>
        <v>1474284</v>
      </c>
      <c r="J293" s="47">
        <f>J294+J295+J296+J301+J302+J303+J304+J310+J311+J313</f>
        <v>1474041</v>
      </c>
      <c r="K293" s="198">
        <f>J293/I293*100</f>
        <v>99.983517422694675</v>
      </c>
      <c r="L293" s="47">
        <v>0</v>
      </c>
      <c r="M293" s="47">
        <v>0</v>
      </c>
      <c r="N293" s="201" t="e">
        <f t="shared" si="66"/>
        <v>#DIV/0!</v>
      </c>
      <c r="O293" s="47">
        <f t="shared" ref="O293:O311" si="71">L293+I293</f>
        <v>1474284</v>
      </c>
      <c r="P293" s="47">
        <f t="shared" ref="P293:P311" si="72">M293+J293</f>
        <v>1474041</v>
      </c>
      <c r="Q293" s="203">
        <f t="shared" si="69"/>
        <v>99.983517422694675</v>
      </c>
    </row>
    <row r="294" spans="2:17" x14ac:dyDescent="0.2">
      <c r="B294" s="72">
        <f t="shared" si="67"/>
        <v>286</v>
      </c>
      <c r="C294" s="12"/>
      <c r="D294" s="12"/>
      <c r="E294" s="12"/>
      <c r="F294" s="52" t="s">
        <v>125</v>
      </c>
      <c r="G294" s="12">
        <v>610</v>
      </c>
      <c r="H294" s="12" t="s">
        <v>135</v>
      </c>
      <c r="I294" s="49">
        <f>334950-19762-8505</f>
        <v>306683</v>
      </c>
      <c r="J294" s="49">
        <v>306683</v>
      </c>
      <c r="K294" s="198">
        <f>J294/I294*100</f>
        <v>100</v>
      </c>
      <c r="L294" s="49"/>
      <c r="M294" s="49"/>
      <c r="N294" s="201" t="e">
        <f t="shared" si="66"/>
        <v>#DIV/0!</v>
      </c>
      <c r="O294" s="49">
        <f t="shared" si="71"/>
        <v>306683</v>
      </c>
      <c r="P294" s="49">
        <f t="shared" si="72"/>
        <v>306683</v>
      </c>
      <c r="Q294" s="203">
        <f t="shared" si="69"/>
        <v>100</v>
      </c>
    </row>
    <row r="295" spans="2:17" x14ac:dyDescent="0.2">
      <c r="B295" s="72">
        <f t="shared" si="67"/>
        <v>287</v>
      </c>
      <c r="C295" s="12"/>
      <c r="D295" s="12"/>
      <c r="E295" s="12"/>
      <c r="F295" s="52" t="s">
        <v>125</v>
      </c>
      <c r="G295" s="12">
        <v>620</v>
      </c>
      <c r="H295" s="12" t="s">
        <v>130</v>
      </c>
      <c r="I295" s="49">
        <f>117190-6916+1150</f>
        <v>111424</v>
      </c>
      <c r="J295" s="49">
        <v>111424</v>
      </c>
      <c r="K295" s="198">
        <f>J295/I295*100</f>
        <v>100</v>
      </c>
      <c r="L295" s="49"/>
      <c r="M295" s="49"/>
      <c r="N295" s="201"/>
      <c r="O295" s="49">
        <f t="shared" si="71"/>
        <v>111424</v>
      </c>
      <c r="P295" s="49">
        <f t="shared" si="72"/>
        <v>111424</v>
      </c>
      <c r="Q295" s="203">
        <f t="shared" si="69"/>
        <v>100</v>
      </c>
    </row>
    <row r="296" spans="2:17" x14ac:dyDescent="0.2">
      <c r="B296" s="72">
        <f t="shared" si="67"/>
        <v>288</v>
      </c>
      <c r="C296" s="12"/>
      <c r="D296" s="12"/>
      <c r="E296" s="12"/>
      <c r="F296" s="52" t="s">
        <v>125</v>
      </c>
      <c r="G296" s="12">
        <v>630</v>
      </c>
      <c r="H296" s="12" t="s">
        <v>127</v>
      </c>
      <c r="I296" s="49">
        <f>I300+I299+I298+I297</f>
        <v>78009</v>
      </c>
      <c r="J296" s="49">
        <f>J300+J299+J298+J297</f>
        <v>78009</v>
      </c>
      <c r="K296" s="198">
        <f>J296/I296*100</f>
        <v>100</v>
      </c>
      <c r="L296" s="49">
        <v>0</v>
      </c>
      <c r="M296" s="49">
        <v>0</v>
      </c>
      <c r="N296" s="201"/>
      <c r="O296" s="49">
        <f t="shared" si="71"/>
        <v>78009</v>
      </c>
      <c r="P296" s="49">
        <f t="shared" si="72"/>
        <v>78009</v>
      </c>
      <c r="Q296" s="203">
        <f t="shared" si="69"/>
        <v>100</v>
      </c>
    </row>
    <row r="297" spans="2:17" x14ac:dyDescent="0.2">
      <c r="B297" s="72">
        <f t="shared" si="67"/>
        <v>289</v>
      </c>
      <c r="C297" s="4"/>
      <c r="D297" s="4"/>
      <c r="E297" s="4"/>
      <c r="F297" s="53" t="s">
        <v>125</v>
      </c>
      <c r="G297" s="4">
        <v>632</v>
      </c>
      <c r="H297" s="4" t="s">
        <v>138</v>
      </c>
      <c r="I297" s="23">
        <f>60069-20080</f>
        <v>39989</v>
      </c>
      <c r="J297" s="23">
        <v>39989</v>
      </c>
      <c r="K297" s="198">
        <f t="shared" ref="K297:K304" si="73">J297/I297*100</f>
        <v>100</v>
      </c>
      <c r="L297" s="23"/>
      <c r="M297" s="23"/>
      <c r="N297" s="201"/>
      <c r="O297" s="23">
        <f t="shared" si="71"/>
        <v>39989</v>
      </c>
      <c r="P297" s="23">
        <f t="shared" si="72"/>
        <v>39989</v>
      </c>
      <c r="Q297" s="203">
        <f t="shared" ref="Q297:Q304" si="74">P297/O297*100</f>
        <v>100</v>
      </c>
    </row>
    <row r="298" spans="2:17" x14ac:dyDescent="0.2">
      <c r="B298" s="72">
        <f t="shared" si="67"/>
        <v>290</v>
      </c>
      <c r="C298" s="4"/>
      <c r="D298" s="4"/>
      <c r="E298" s="4"/>
      <c r="F298" s="53" t="s">
        <v>125</v>
      </c>
      <c r="G298" s="4">
        <v>633</v>
      </c>
      <c r="H298" s="4" t="s">
        <v>131</v>
      </c>
      <c r="I298" s="23">
        <f>12260+2141-409</f>
        <v>13992</v>
      </c>
      <c r="J298" s="23">
        <v>13992</v>
      </c>
      <c r="K298" s="198">
        <f t="shared" si="73"/>
        <v>100</v>
      </c>
      <c r="L298" s="23"/>
      <c r="M298" s="23"/>
      <c r="N298" s="201"/>
      <c r="O298" s="23">
        <f t="shared" si="71"/>
        <v>13992</v>
      </c>
      <c r="P298" s="23">
        <f t="shared" si="72"/>
        <v>13992</v>
      </c>
      <c r="Q298" s="203">
        <f t="shared" si="74"/>
        <v>100</v>
      </c>
    </row>
    <row r="299" spans="2:17" x14ac:dyDescent="0.2">
      <c r="B299" s="72">
        <f t="shared" si="67"/>
        <v>291</v>
      </c>
      <c r="C299" s="4"/>
      <c r="D299" s="4"/>
      <c r="E299" s="4"/>
      <c r="F299" s="53" t="s">
        <v>125</v>
      </c>
      <c r="G299" s="4">
        <v>635</v>
      </c>
      <c r="H299" s="4" t="s">
        <v>137</v>
      </c>
      <c r="I299" s="23">
        <f>4549+20</f>
        <v>4569</v>
      </c>
      <c r="J299" s="23">
        <v>4569</v>
      </c>
      <c r="K299" s="198">
        <f t="shared" si="73"/>
        <v>100</v>
      </c>
      <c r="L299" s="23"/>
      <c r="M299" s="23"/>
      <c r="N299" s="201"/>
      <c r="O299" s="23">
        <f t="shared" si="71"/>
        <v>4569</v>
      </c>
      <c r="P299" s="23">
        <f t="shared" si="72"/>
        <v>4569</v>
      </c>
      <c r="Q299" s="203">
        <f t="shared" si="74"/>
        <v>100</v>
      </c>
    </row>
    <row r="300" spans="2:17" x14ac:dyDescent="0.2">
      <c r="B300" s="72">
        <f t="shared" si="67"/>
        <v>292</v>
      </c>
      <c r="C300" s="4"/>
      <c r="D300" s="4"/>
      <c r="E300" s="4"/>
      <c r="F300" s="53" t="s">
        <v>125</v>
      </c>
      <c r="G300" s="4">
        <v>637</v>
      </c>
      <c r="H300" s="4" t="s">
        <v>128</v>
      </c>
      <c r="I300" s="23">
        <f>13489+5740+230</f>
        <v>19459</v>
      </c>
      <c r="J300" s="23">
        <v>19459</v>
      </c>
      <c r="K300" s="198">
        <f t="shared" si="73"/>
        <v>100</v>
      </c>
      <c r="L300" s="23"/>
      <c r="M300" s="23"/>
      <c r="N300" s="201"/>
      <c r="O300" s="23">
        <f t="shared" si="71"/>
        <v>19459</v>
      </c>
      <c r="P300" s="23">
        <f t="shared" si="72"/>
        <v>19459</v>
      </c>
      <c r="Q300" s="203">
        <f t="shared" si="74"/>
        <v>100</v>
      </c>
    </row>
    <row r="301" spans="2:17" x14ac:dyDescent="0.2">
      <c r="B301" s="72">
        <f t="shared" si="67"/>
        <v>293</v>
      </c>
      <c r="C301" s="12"/>
      <c r="D301" s="12"/>
      <c r="E301" s="12"/>
      <c r="F301" s="52" t="s">
        <v>125</v>
      </c>
      <c r="G301" s="12">
        <v>640</v>
      </c>
      <c r="H301" s="12" t="s">
        <v>134</v>
      </c>
      <c r="I301" s="49">
        <f>3569-2080-7</f>
        <v>1482</v>
      </c>
      <c r="J301" s="49">
        <v>1482</v>
      </c>
      <c r="K301" s="198">
        <f t="shared" si="73"/>
        <v>100</v>
      </c>
      <c r="L301" s="49"/>
      <c r="M301" s="49"/>
      <c r="N301" s="201"/>
      <c r="O301" s="49">
        <f t="shared" si="71"/>
        <v>1482</v>
      </c>
      <c r="P301" s="49">
        <f t="shared" si="72"/>
        <v>1482</v>
      </c>
      <c r="Q301" s="203">
        <f t="shared" si="74"/>
        <v>100</v>
      </c>
    </row>
    <row r="302" spans="2:17" x14ac:dyDescent="0.2">
      <c r="B302" s="72">
        <f t="shared" si="67"/>
        <v>294</v>
      </c>
      <c r="C302" s="12"/>
      <c r="D302" s="12"/>
      <c r="E302" s="12"/>
      <c r="F302" s="52" t="s">
        <v>269</v>
      </c>
      <c r="G302" s="12">
        <v>610</v>
      </c>
      <c r="H302" s="12" t="s">
        <v>135</v>
      </c>
      <c r="I302" s="49">
        <f>513638+220+52053</f>
        <v>565911</v>
      </c>
      <c r="J302" s="49">
        <v>565908</v>
      </c>
      <c r="K302" s="198">
        <f t="shared" si="73"/>
        <v>99.999469881306425</v>
      </c>
      <c r="L302" s="49"/>
      <c r="M302" s="49"/>
      <c r="N302" s="201"/>
      <c r="O302" s="49">
        <f t="shared" si="71"/>
        <v>565911</v>
      </c>
      <c r="P302" s="49">
        <f t="shared" si="72"/>
        <v>565908</v>
      </c>
      <c r="Q302" s="203">
        <f t="shared" si="74"/>
        <v>99.999469881306425</v>
      </c>
    </row>
    <row r="303" spans="2:17" x14ac:dyDescent="0.2">
      <c r="B303" s="72">
        <f t="shared" si="67"/>
        <v>295</v>
      </c>
      <c r="C303" s="12"/>
      <c r="D303" s="12"/>
      <c r="E303" s="12"/>
      <c r="F303" s="52" t="s">
        <v>269</v>
      </c>
      <c r="G303" s="12">
        <v>620</v>
      </c>
      <c r="H303" s="12" t="s">
        <v>130</v>
      </c>
      <c r="I303" s="49">
        <f>179525+80+18512+7364</f>
        <v>205481</v>
      </c>
      <c r="J303" s="49">
        <v>205482</v>
      </c>
      <c r="K303" s="198">
        <f t="shared" si="73"/>
        <v>100.00048666300047</v>
      </c>
      <c r="L303" s="49"/>
      <c r="M303" s="49"/>
      <c r="N303" s="201"/>
      <c r="O303" s="49">
        <f t="shared" si="71"/>
        <v>205481</v>
      </c>
      <c r="P303" s="49">
        <f t="shared" si="72"/>
        <v>205482</v>
      </c>
      <c r="Q303" s="203">
        <f t="shared" si="74"/>
        <v>100.00048666300047</v>
      </c>
    </row>
    <row r="304" spans="2:17" x14ac:dyDescent="0.2">
      <c r="B304" s="72">
        <f t="shared" si="67"/>
        <v>296</v>
      </c>
      <c r="C304" s="12"/>
      <c r="D304" s="12"/>
      <c r="E304" s="12"/>
      <c r="F304" s="52" t="s">
        <v>269</v>
      </c>
      <c r="G304" s="12">
        <v>630</v>
      </c>
      <c r="H304" s="12" t="s">
        <v>127</v>
      </c>
      <c r="I304" s="49">
        <f>I309+I308+I307+I306+I305</f>
        <v>200158</v>
      </c>
      <c r="J304" s="49">
        <f>J309+J308+J307+J306+J305</f>
        <v>200059</v>
      </c>
      <c r="K304" s="198">
        <f t="shared" si="73"/>
        <v>99.950539074131441</v>
      </c>
      <c r="L304" s="49">
        <v>0</v>
      </c>
      <c r="M304" s="49">
        <v>0</v>
      </c>
      <c r="N304" s="201"/>
      <c r="O304" s="49">
        <f t="shared" si="71"/>
        <v>200158</v>
      </c>
      <c r="P304" s="49">
        <f t="shared" si="72"/>
        <v>200059</v>
      </c>
      <c r="Q304" s="203">
        <f t="shared" si="74"/>
        <v>99.950539074131441</v>
      </c>
    </row>
    <row r="305" spans="2:17" x14ac:dyDescent="0.2">
      <c r="B305" s="72">
        <f t="shared" si="67"/>
        <v>297</v>
      </c>
      <c r="C305" s="4"/>
      <c r="D305" s="4"/>
      <c r="E305" s="4"/>
      <c r="F305" s="53" t="s">
        <v>269</v>
      </c>
      <c r="G305" s="4">
        <v>632</v>
      </c>
      <c r="H305" s="4" t="s">
        <v>138</v>
      </c>
      <c r="I305" s="23">
        <f>100105-35695-455</f>
        <v>63955</v>
      </c>
      <c r="J305" s="23">
        <v>63955</v>
      </c>
      <c r="K305" s="198">
        <f t="shared" ref="K305:K311" si="75">J305/I305*100</f>
        <v>100</v>
      </c>
      <c r="L305" s="23"/>
      <c r="M305" s="23"/>
      <c r="N305" s="201"/>
      <c r="O305" s="23">
        <f t="shared" si="71"/>
        <v>63955</v>
      </c>
      <c r="P305" s="23">
        <f t="shared" si="72"/>
        <v>63955</v>
      </c>
      <c r="Q305" s="203">
        <f t="shared" ref="Q305:Q311" si="76">P305/O305*100</f>
        <v>100</v>
      </c>
    </row>
    <row r="306" spans="2:17" x14ac:dyDescent="0.2">
      <c r="B306" s="72">
        <f t="shared" si="67"/>
        <v>298</v>
      </c>
      <c r="C306" s="4"/>
      <c r="D306" s="4"/>
      <c r="E306" s="4"/>
      <c r="F306" s="53" t="s">
        <v>269</v>
      </c>
      <c r="G306" s="4">
        <v>633</v>
      </c>
      <c r="H306" s="4" t="s">
        <v>131</v>
      </c>
      <c r="I306" s="23">
        <f>37655-3288</f>
        <v>34367</v>
      </c>
      <c r="J306" s="23">
        <v>30374</v>
      </c>
      <c r="K306" s="198">
        <f t="shared" si="75"/>
        <v>88.381296010707942</v>
      </c>
      <c r="L306" s="23"/>
      <c r="M306" s="23"/>
      <c r="N306" s="201"/>
      <c r="O306" s="23">
        <f t="shared" si="71"/>
        <v>34367</v>
      </c>
      <c r="P306" s="23">
        <f t="shared" si="72"/>
        <v>30374</v>
      </c>
      <c r="Q306" s="203">
        <f t="shared" si="76"/>
        <v>88.381296010707942</v>
      </c>
    </row>
    <row r="307" spans="2:17" x14ac:dyDescent="0.2">
      <c r="B307" s="72">
        <f t="shared" si="67"/>
        <v>299</v>
      </c>
      <c r="C307" s="4"/>
      <c r="D307" s="4"/>
      <c r="E307" s="4"/>
      <c r="F307" s="53" t="s">
        <v>269</v>
      </c>
      <c r="G307" s="4">
        <v>635</v>
      </c>
      <c r="H307" s="4" t="s">
        <v>137</v>
      </c>
      <c r="I307" s="23">
        <f>12824+15766+170</f>
        <v>28760</v>
      </c>
      <c r="J307" s="23">
        <v>32654</v>
      </c>
      <c r="K307" s="198">
        <f t="shared" si="75"/>
        <v>113.53963838664811</v>
      </c>
      <c r="L307" s="23"/>
      <c r="M307" s="23"/>
      <c r="N307" s="201"/>
      <c r="O307" s="23">
        <f t="shared" si="71"/>
        <v>28760</v>
      </c>
      <c r="P307" s="23">
        <f t="shared" si="72"/>
        <v>32654</v>
      </c>
      <c r="Q307" s="203">
        <f t="shared" si="76"/>
        <v>113.53963838664811</v>
      </c>
    </row>
    <row r="308" spans="2:17" x14ac:dyDescent="0.2">
      <c r="B308" s="72">
        <f t="shared" si="67"/>
        <v>300</v>
      </c>
      <c r="C308" s="4"/>
      <c r="D308" s="4"/>
      <c r="E308" s="4"/>
      <c r="F308" s="53" t="s">
        <v>269</v>
      </c>
      <c r="G308" s="4">
        <v>636</v>
      </c>
      <c r="H308" s="4" t="s">
        <v>132</v>
      </c>
      <c r="I308" s="23">
        <f>20000+20000</f>
        <v>40000</v>
      </c>
      <c r="J308" s="23">
        <v>40000</v>
      </c>
      <c r="K308" s="198">
        <f t="shared" si="75"/>
        <v>100</v>
      </c>
      <c r="L308" s="23"/>
      <c r="M308" s="23"/>
      <c r="N308" s="201"/>
      <c r="O308" s="23">
        <f t="shared" si="71"/>
        <v>40000</v>
      </c>
      <c r="P308" s="23">
        <f t="shared" si="72"/>
        <v>40000</v>
      </c>
      <c r="Q308" s="203">
        <f t="shared" si="76"/>
        <v>100</v>
      </c>
    </row>
    <row r="309" spans="2:17" x14ac:dyDescent="0.2">
      <c r="B309" s="72">
        <f t="shared" si="67"/>
        <v>301</v>
      </c>
      <c r="C309" s="4"/>
      <c r="D309" s="4"/>
      <c r="E309" s="4"/>
      <c r="F309" s="53" t="s">
        <v>269</v>
      </c>
      <c r="G309" s="4">
        <v>637</v>
      </c>
      <c r="H309" s="4" t="s">
        <v>128</v>
      </c>
      <c r="I309" s="23">
        <f>20234+12450-152+544</f>
        <v>33076</v>
      </c>
      <c r="J309" s="23">
        <v>33076</v>
      </c>
      <c r="K309" s="198">
        <f t="shared" si="75"/>
        <v>100</v>
      </c>
      <c r="L309" s="23"/>
      <c r="M309" s="23"/>
      <c r="N309" s="201"/>
      <c r="O309" s="23">
        <f t="shared" si="71"/>
        <v>33076</v>
      </c>
      <c r="P309" s="23">
        <f t="shared" si="72"/>
        <v>33076</v>
      </c>
      <c r="Q309" s="203">
        <f t="shared" si="76"/>
        <v>100</v>
      </c>
    </row>
    <row r="310" spans="2:17" x14ac:dyDescent="0.2">
      <c r="B310" s="72">
        <f t="shared" ref="B310:B360" si="77">B309+1</f>
        <v>302</v>
      </c>
      <c r="C310" s="12"/>
      <c r="D310" s="12"/>
      <c r="E310" s="12"/>
      <c r="F310" s="52" t="s">
        <v>269</v>
      </c>
      <c r="G310" s="12">
        <v>640</v>
      </c>
      <c r="H310" s="12" t="s">
        <v>134</v>
      </c>
      <c r="I310" s="49">
        <f>4310-165-82</f>
        <v>4063</v>
      </c>
      <c r="J310" s="49">
        <v>3921</v>
      </c>
      <c r="K310" s="198">
        <f t="shared" si="75"/>
        <v>96.505045532857494</v>
      </c>
      <c r="L310" s="49"/>
      <c r="M310" s="49"/>
      <c r="N310" s="201"/>
      <c r="O310" s="49">
        <f t="shared" si="71"/>
        <v>4063</v>
      </c>
      <c r="P310" s="49">
        <f t="shared" si="72"/>
        <v>3921</v>
      </c>
      <c r="Q310" s="203">
        <f t="shared" si="76"/>
        <v>96.505045532857494</v>
      </c>
    </row>
    <row r="311" spans="2:17" x14ac:dyDescent="0.2">
      <c r="B311" s="72">
        <f t="shared" si="77"/>
        <v>303</v>
      </c>
      <c r="C311" s="12"/>
      <c r="D311" s="12"/>
      <c r="E311" s="12"/>
      <c r="F311" s="52" t="s">
        <v>75</v>
      </c>
      <c r="G311" s="12">
        <v>630</v>
      </c>
      <c r="H311" s="12" t="s">
        <v>644</v>
      </c>
      <c r="I311" s="49">
        <f>356+665-32</f>
        <v>989</v>
      </c>
      <c r="J311" s="49">
        <v>989</v>
      </c>
      <c r="K311" s="198">
        <f t="shared" si="75"/>
        <v>100</v>
      </c>
      <c r="L311" s="49"/>
      <c r="M311" s="49"/>
      <c r="N311" s="201"/>
      <c r="O311" s="49">
        <f t="shared" si="71"/>
        <v>989</v>
      </c>
      <c r="P311" s="49">
        <f t="shared" si="72"/>
        <v>989</v>
      </c>
      <c r="Q311" s="203">
        <f t="shared" si="76"/>
        <v>100</v>
      </c>
    </row>
    <row r="312" spans="2:17" x14ac:dyDescent="0.2">
      <c r="B312" s="72">
        <f t="shared" si="77"/>
        <v>304</v>
      </c>
      <c r="C312" s="12"/>
      <c r="D312" s="12"/>
      <c r="E312" s="12"/>
      <c r="F312" s="52"/>
      <c r="G312" s="12"/>
      <c r="H312" s="12"/>
      <c r="I312" s="49"/>
      <c r="J312" s="49"/>
      <c r="K312" s="198"/>
      <c r="L312" s="49"/>
      <c r="M312" s="49"/>
      <c r="N312" s="201"/>
      <c r="O312" s="49"/>
      <c r="P312" s="49"/>
      <c r="Q312" s="203"/>
    </row>
    <row r="313" spans="2:17" x14ac:dyDescent="0.2">
      <c r="B313" s="72">
        <f t="shared" si="77"/>
        <v>305</v>
      </c>
      <c r="C313" s="12"/>
      <c r="D313" s="12"/>
      <c r="E313" s="12"/>
      <c r="F313" s="52"/>
      <c r="G313" s="12">
        <v>630</v>
      </c>
      <c r="H313" s="12" t="s">
        <v>596</v>
      </c>
      <c r="I313" s="49">
        <v>84</v>
      </c>
      <c r="J313" s="49">
        <v>84</v>
      </c>
      <c r="K313" s="198">
        <f t="shared" ref="K313:K337" si="78">J313/I313*100</f>
        <v>100</v>
      </c>
      <c r="L313" s="49"/>
      <c r="M313" s="49"/>
      <c r="N313" s="201"/>
      <c r="O313" s="49">
        <f t="shared" ref="O313:O337" si="79">L313+I313</f>
        <v>84</v>
      </c>
      <c r="P313" s="49">
        <f t="shared" ref="P313:P337" si="80">M313+J313</f>
        <v>84</v>
      </c>
      <c r="Q313" s="203">
        <f t="shared" ref="Q313:Q337" si="81">P313/O313*100</f>
        <v>100</v>
      </c>
    </row>
    <row r="314" spans="2:17" ht="15" x14ac:dyDescent="0.25">
      <c r="B314" s="72">
        <f t="shared" si="77"/>
        <v>306</v>
      </c>
      <c r="C314" s="15"/>
      <c r="D314" s="15"/>
      <c r="E314" s="15">
        <v>9</v>
      </c>
      <c r="F314" s="50"/>
      <c r="G314" s="15"/>
      <c r="H314" s="15" t="s">
        <v>273</v>
      </c>
      <c r="I314" s="47">
        <f>I315+I316+I317+I324+I325+I326+I327+I335+I341+I339+I337+I336</f>
        <v>593159</v>
      </c>
      <c r="J314" s="47">
        <f>J315+J316+J317+J324+J325+J326+J327+J335+J336+J337+J339</f>
        <v>585742</v>
      </c>
      <c r="K314" s="198">
        <f t="shared" si="78"/>
        <v>98.7495764204876</v>
      </c>
      <c r="L314" s="47">
        <f>L315+L316+L317+L324+L325+L326+L327+L335+L341</f>
        <v>102000</v>
      </c>
      <c r="M314" s="47">
        <f>M315+M316+M317+M324+M325+M326+M327+M335+M341</f>
        <v>6683</v>
      </c>
      <c r="N314" s="201">
        <f t="shared" ref="N314:N347" si="82">M314/L314*100</f>
        <v>6.5519607843137244</v>
      </c>
      <c r="O314" s="47">
        <f t="shared" si="79"/>
        <v>695159</v>
      </c>
      <c r="P314" s="47">
        <f t="shared" si="80"/>
        <v>592425</v>
      </c>
      <c r="Q314" s="203">
        <f t="shared" si="81"/>
        <v>85.221510474582075</v>
      </c>
    </row>
    <row r="315" spans="2:17" x14ac:dyDescent="0.2">
      <c r="B315" s="72">
        <f t="shared" si="77"/>
        <v>307</v>
      </c>
      <c r="C315" s="12"/>
      <c r="D315" s="12"/>
      <c r="E315" s="12"/>
      <c r="F315" s="52" t="s">
        <v>125</v>
      </c>
      <c r="G315" s="12">
        <v>610</v>
      </c>
      <c r="H315" s="12" t="s">
        <v>135</v>
      </c>
      <c r="I315" s="49">
        <f>158605+12523+1095</f>
        <v>172223</v>
      </c>
      <c r="J315" s="49">
        <v>172223</v>
      </c>
      <c r="K315" s="198">
        <f t="shared" si="78"/>
        <v>100</v>
      </c>
      <c r="L315" s="49"/>
      <c r="M315" s="49"/>
      <c r="N315" s="201"/>
      <c r="O315" s="49">
        <f t="shared" si="79"/>
        <v>172223</v>
      </c>
      <c r="P315" s="49">
        <f t="shared" si="80"/>
        <v>172223</v>
      </c>
      <c r="Q315" s="203">
        <f t="shared" si="81"/>
        <v>100</v>
      </c>
    </row>
    <row r="316" spans="2:17" x14ac:dyDescent="0.2">
      <c r="B316" s="72">
        <f t="shared" si="77"/>
        <v>308</v>
      </c>
      <c r="C316" s="12"/>
      <c r="D316" s="12"/>
      <c r="E316" s="12"/>
      <c r="F316" s="52" t="s">
        <v>125</v>
      </c>
      <c r="G316" s="12">
        <v>620</v>
      </c>
      <c r="H316" s="12" t="s">
        <v>130</v>
      </c>
      <c r="I316" s="49">
        <f>56233+4782-76</f>
        <v>60939</v>
      </c>
      <c r="J316" s="49">
        <v>60939</v>
      </c>
      <c r="K316" s="198">
        <f t="shared" si="78"/>
        <v>100</v>
      </c>
      <c r="L316" s="49"/>
      <c r="M316" s="49"/>
      <c r="N316" s="201"/>
      <c r="O316" s="49">
        <f t="shared" si="79"/>
        <v>60939</v>
      </c>
      <c r="P316" s="49">
        <f t="shared" si="80"/>
        <v>60939</v>
      </c>
      <c r="Q316" s="203">
        <f t="shared" si="81"/>
        <v>100</v>
      </c>
    </row>
    <row r="317" spans="2:17" x14ac:dyDescent="0.2">
      <c r="B317" s="72">
        <f t="shared" si="77"/>
        <v>309</v>
      </c>
      <c r="C317" s="12"/>
      <c r="D317" s="12"/>
      <c r="E317" s="12"/>
      <c r="F317" s="52" t="s">
        <v>125</v>
      </c>
      <c r="G317" s="12">
        <v>630</v>
      </c>
      <c r="H317" s="12" t="s">
        <v>127</v>
      </c>
      <c r="I317" s="49">
        <f>I323+I322+I320+I319+I318+I321</f>
        <v>44608</v>
      </c>
      <c r="J317" s="49">
        <f>J323+J322+J320+J319+J318+J321</f>
        <v>41197</v>
      </c>
      <c r="K317" s="198">
        <f t="shared" si="78"/>
        <v>92.35338952654233</v>
      </c>
      <c r="L317" s="49">
        <v>0</v>
      </c>
      <c r="M317" s="49"/>
      <c r="N317" s="201"/>
      <c r="O317" s="49">
        <f t="shared" si="79"/>
        <v>44608</v>
      </c>
      <c r="P317" s="49">
        <f t="shared" si="80"/>
        <v>41197</v>
      </c>
      <c r="Q317" s="203">
        <f t="shared" si="81"/>
        <v>92.35338952654233</v>
      </c>
    </row>
    <row r="318" spans="2:17" x14ac:dyDescent="0.2">
      <c r="B318" s="72">
        <f t="shared" si="77"/>
        <v>310</v>
      </c>
      <c r="C318" s="4"/>
      <c r="D318" s="4"/>
      <c r="E318" s="4"/>
      <c r="F318" s="53" t="s">
        <v>125</v>
      </c>
      <c r="G318" s="4">
        <v>631</v>
      </c>
      <c r="H318" s="4" t="s">
        <v>133</v>
      </c>
      <c r="I318" s="23">
        <f>25+40+185</f>
        <v>250</v>
      </c>
      <c r="J318" s="23">
        <v>245</v>
      </c>
      <c r="K318" s="198">
        <f t="shared" si="78"/>
        <v>98</v>
      </c>
      <c r="L318" s="23"/>
      <c r="M318" s="23"/>
      <c r="N318" s="201"/>
      <c r="O318" s="23">
        <f t="shared" si="79"/>
        <v>250</v>
      </c>
      <c r="P318" s="23">
        <f t="shared" si="80"/>
        <v>245</v>
      </c>
      <c r="Q318" s="203">
        <f t="shared" si="81"/>
        <v>98</v>
      </c>
    </row>
    <row r="319" spans="2:17" x14ac:dyDescent="0.2">
      <c r="B319" s="72">
        <f t="shared" si="77"/>
        <v>311</v>
      </c>
      <c r="C319" s="4"/>
      <c r="D319" s="4"/>
      <c r="E319" s="4"/>
      <c r="F319" s="53" t="s">
        <v>125</v>
      </c>
      <c r="G319" s="4">
        <v>632</v>
      </c>
      <c r="H319" s="4" t="s">
        <v>138</v>
      </c>
      <c r="I319" s="23">
        <f>20700-40-2000</f>
        <v>18660</v>
      </c>
      <c r="J319" s="23">
        <v>16948</v>
      </c>
      <c r="K319" s="198">
        <f t="shared" si="78"/>
        <v>90.825294748124335</v>
      </c>
      <c r="L319" s="23"/>
      <c r="M319" s="23"/>
      <c r="N319" s="201"/>
      <c r="O319" s="23">
        <f t="shared" si="79"/>
        <v>18660</v>
      </c>
      <c r="P319" s="23">
        <f t="shared" si="80"/>
        <v>16948</v>
      </c>
      <c r="Q319" s="203">
        <f t="shared" si="81"/>
        <v>90.825294748124335</v>
      </c>
    </row>
    <row r="320" spans="2:17" x14ac:dyDescent="0.2">
      <c r="B320" s="72">
        <f t="shared" si="77"/>
        <v>312</v>
      </c>
      <c r="C320" s="4"/>
      <c r="D320" s="4"/>
      <c r="E320" s="4"/>
      <c r="F320" s="53" t="s">
        <v>125</v>
      </c>
      <c r="G320" s="4">
        <v>633</v>
      </c>
      <c r="H320" s="4" t="s">
        <v>131</v>
      </c>
      <c r="I320" s="23">
        <f>6768-644-398</f>
        <v>5726</v>
      </c>
      <c r="J320" s="23">
        <v>4289</v>
      </c>
      <c r="K320" s="198">
        <f t="shared" si="78"/>
        <v>74.903946908836886</v>
      </c>
      <c r="L320" s="23"/>
      <c r="M320" s="23"/>
      <c r="N320" s="201"/>
      <c r="O320" s="23">
        <f t="shared" si="79"/>
        <v>5726</v>
      </c>
      <c r="P320" s="23">
        <f t="shared" si="80"/>
        <v>4289</v>
      </c>
      <c r="Q320" s="203">
        <f t="shared" si="81"/>
        <v>74.903946908836886</v>
      </c>
    </row>
    <row r="321" spans="2:17" x14ac:dyDescent="0.2">
      <c r="B321" s="72">
        <f t="shared" si="77"/>
        <v>313</v>
      </c>
      <c r="C321" s="4"/>
      <c r="D321" s="4"/>
      <c r="E321" s="4"/>
      <c r="F321" s="53" t="s">
        <v>125</v>
      </c>
      <c r="G321" s="4">
        <v>634</v>
      </c>
      <c r="H321" s="4" t="s">
        <v>136</v>
      </c>
      <c r="I321" s="23">
        <v>15</v>
      </c>
      <c r="J321" s="23">
        <v>8</v>
      </c>
      <c r="K321" s="198">
        <f t="shared" si="78"/>
        <v>53.333333333333336</v>
      </c>
      <c r="L321" s="23"/>
      <c r="M321" s="23"/>
      <c r="N321" s="201"/>
      <c r="O321" s="23">
        <f t="shared" si="79"/>
        <v>15</v>
      </c>
      <c r="P321" s="23">
        <f t="shared" si="80"/>
        <v>8</v>
      </c>
      <c r="Q321" s="203">
        <f t="shared" si="81"/>
        <v>53.333333333333336</v>
      </c>
    </row>
    <row r="322" spans="2:17" x14ac:dyDescent="0.2">
      <c r="B322" s="72">
        <f t="shared" si="77"/>
        <v>314</v>
      </c>
      <c r="C322" s="4"/>
      <c r="D322" s="4"/>
      <c r="E322" s="4"/>
      <c r="F322" s="53" t="s">
        <v>125</v>
      </c>
      <c r="G322" s="4">
        <v>635</v>
      </c>
      <c r="H322" s="4" t="s">
        <v>137</v>
      </c>
      <c r="I322" s="23">
        <f>1480+2000-3310+398</f>
        <v>568</v>
      </c>
      <c r="J322" s="23">
        <v>568</v>
      </c>
      <c r="K322" s="198">
        <f t="shared" si="78"/>
        <v>100</v>
      </c>
      <c r="L322" s="23"/>
      <c r="M322" s="23"/>
      <c r="N322" s="201"/>
      <c r="O322" s="23">
        <f t="shared" si="79"/>
        <v>568</v>
      </c>
      <c r="P322" s="23">
        <f t="shared" si="80"/>
        <v>568</v>
      </c>
      <c r="Q322" s="203">
        <f t="shared" si="81"/>
        <v>100</v>
      </c>
    </row>
    <row r="323" spans="2:17" x14ac:dyDescent="0.2">
      <c r="B323" s="72">
        <f t="shared" si="77"/>
        <v>315</v>
      </c>
      <c r="C323" s="4"/>
      <c r="D323" s="4"/>
      <c r="E323" s="4"/>
      <c r="F323" s="53" t="s">
        <v>125</v>
      </c>
      <c r="G323" s="4">
        <v>637</v>
      </c>
      <c r="H323" s="4" t="s">
        <v>128</v>
      </c>
      <c r="I323" s="23">
        <f>10312+10033-956</f>
        <v>19389</v>
      </c>
      <c r="J323" s="23">
        <v>19139</v>
      </c>
      <c r="K323" s="198">
        <f t="shared" si="78"/>
        <v>98.710609108257259</v>
      </c>
      <c r="L323" s="23"/>
      <c r="M323" s="23"/>
      <c r="N323" s="201"/>
      <c r="O323" s="23">
        <f t="shared" si="79"/>
        <v>19389</v>
      </c>
      <c r="P323" s="23">
        <f t="shared" si="80"/>
        <v>19139</v>
      </c>
      <c r="Q323" s="203">
        <f t="shared" si="81"/>
        <v>98.710609108257259</v>
      </c>
    </row>
    <row r="324" spans="2:17" x14ac:dyDescent="0.2">
      <c r="B324" s="72">
        <f t="shared" si="77"/>
        <v>316</v>
      </c>
      <c r="C324" s="12"/>
      <c r="D324" s="12"/>
      <c r="E324" s="12"/>
      <c r="F324" s="52" t="s">
        <v>125</v>
      </c>
      <c r="G324" s="12">
        <v>640</v>
      </c>
      <c r="H324" s="12" t="s">
        <v>134</v>
      </c>
      <c r="I324" s="49">
        <f>1550-950-63</f>
        <v>537</v>
      </c>
      <c r="J324" s="49">
        <v>537</v>
      </c>
      <c r="K324" s="198">
        <f t="shared" si="78"/>
        <v>100</v>
      </c>
      <c r="L324" s="49"/>
      <c r="M324" s="49"/>
      <c r="N324" s="201"/>
      <c r="O324" s="49">
        <f t="shared" si="79"/>
        <v>537</v>
      </c>
      <c r="P324" s="49">
        <f t="shared" si="80"/>
        <v>537</v>
      </c>
      <c r="Q324" s="203">
        <f t="shared" si="81"/>
        <v>100</v>
      </c>
    </row>
    <row r="325" spans="2:17" x14ac:dyDescent="0.2">
      <c r="B325" s="72">
        <f t="shared" si="77"/>
        <v>317</v>
      </c>
      <c r="C325" s="12"/>
      <c r="D325" s="12"/>
      <c r="E325" s="12"/>
      <c r="F325" s="52" t="s">
        <v>269</v>
      </c>
      <c r="G325" s="12">
        <v>610</v>
      </c>
      <c r="H325" s="12" t="s">
        <v>135</v>
      </c>
      <c r="I325" s="49">
        <f>172879+148+12183+1095</f>
        <v>186305</v>
      </c>
      <c r="J325" s="49">
        <v>186305</v>
      </c>
      <c r="K325" s="198">
        <f t="shared" si="78"/>
        <v>100</v>
      </c>
      <c r="L325" s="49"/>
      <c r="M325" s="49"/>
      <c r="N325" s="201"/>
      <c r="O325" s="49">
        <f t="shared" si="79"/>
        <v>186305</v>
      </c>
      <c r="P325" s="49">
        <f t="shared" si="80"/>
        <v>186305</v>
      </c>
      <c r="Q325" s="203">
        <f t="shared" si="81"/>
        <v>100</v>
      </c>
    </row>
    <row r="326" spans="2:17" x14ac:dyDescent="0.2">
      <c r="B326" s="72">
        <f t="shared" si="77"/>
        <v>318</v>
      </c>
      <c r="C326" s="12"/>
      <c r="D326" s="12"/>
      <c r="E326" s="12"/>
      <c r="F326" s="52" t="s">
        <v>269</v>
      </c>
      <c r="G326" s="12">
        <v>620</v>
      </c>
      <c r="H326" s="12" t="s">
        <v>130</v>
      </c>
      <c r="I326" s="49">
        <f>61222+52+4560-76</f>
        <v>65758</v>
      </c>
      <c r="J326" s="49">
        <v>65758</v>
      </c>
      <c r="K326" s="198">
        <f t="shared" si="78"/>
        <v>100</v>
      </c>
      <c r="L326" s="49"/>
      <c r="M326" s="49"/>
      <c r="N326" s="201"/>
      <c r="O326" s="49">
        <f t="shared" si="79"/>
        <v>65758</v>
      </c>
      <c r="P326" s="49">
        <f t="shared" si="80"/>
        <v>65758</v>
      </c>
      <c r="Q326" s="203">
        <f t="shared" si="81"/>
        <v>100</v>
      </c>
    </row>
    <row r="327" spans="2:17" x14ac:dyDescent="0.2">
      <c r="B327" s="72">
        <f t="shared" si="77"/>
        <v>319</v>
      </c>
      <c r="C327" s="12"/>
      <c r="D327" s="12"/>
      <c r="E327" s="12"/>
      <c r="F327" s="52" t="s">
        <v>269</v>
      </c>
      <c r="G327" s="12">
        <v>630</v>
      </c>
      <c r="H327" s="12" t="s">
        <v>127</v>
      </c>
      <c r="I327" s="49">
        <f>I334+I332+I330+I329+I328+I333+I331</f>
        <v>60712</v>
      </c>
      <c r="J327" s="49">
        <f>J334+J332+J330+J329+J328+J333+J331</f>
        <v>57251</v>
      </c>
      <c r="K327" s="198">
        <f t="shared" si="78"/>
        <v>94.299314797733558</v>
      </c>
      <c r="L327" s="49">
        <f>L334+L332+L330+L329+L328</f>
        <v>0</v>
      </c>
      <c r="M327" s="49">
        <f>M334+M332+M330+M329+M328</f>
        <v>0</v>
      </c>
      <c r="N327" s="201"/>
      <c r="O327" s="49">
        <f t="shared" si="79"/>
        <v>60712</v>
      </c>
      <c r="P327" s="49">
        <f t="shared" si="80"/>
        <v>57251</v>
      </c>
      <c r="Q327" s="203">
        <f t="shared" si="81"/>
        <v>94.299314797733558</v>
      </c>
    </row>
    <row r="328" spans="2:17" x14ac:dyDescent="0.2">
      <c r="B328" s="72">
        <f t="shared" si="77"/>
        <v>320</v>
      </c>
      <c r="C328" s="4"/>
      <c r="D328" s="4"/>
      <c r="E328" s="4"/>
      <c r="F328" s="53" t="s">
        <v>269</v>
      </c>
      <c r="G328" s="4">
        <v>631</v>
      </c>
      <c r="H328" s="4" t="s">
        <v>133</v>
      </c>
      <c r="I328" s="23">
        <f>25+40+185</f>
        <v>250</v>
      </c>
      <c r="J328" s="23">
        <v>245</v>
      </c>
      <c r="K328" s="198">
        <f t="shared" si="78"/>
        <v>98</v>
      </c>
      <c r="L328" s="23"/>
      <c r="M328" s="23"/>
      <c r="N328" s="201"/>
      <c r="O328" s="23">
        <f t="shared" si="79"/>
        <v>250</v>
      </c>
      <c r="P328" s="23">
        <f t="shared" si="80"/>
        <v>245</v>
      </c>
      <c r="Q328" s="203">
        <f t="shared" si="81"/>
        <v>98</v>
      </c>
    </row>
    <row r="329" spans="2:17" x14ac:dyDescent="0.2">
      <c r="B329" s="72">
        <f t="shared" si="77"/>
        <v>321</v>
      </c>
      <c r="C329" s="4"/>
      <c r="D329" s="4"/>
      <c r="E329" s="4"/>
      <c r="F329" s="53" t="s">
        <v>269</v>
      </c>
      <c r="G329" s="4">
        <v>632</v>
      </c>
      <c r="H329" s="4" t="s">
        <v>138</v>
      </c>
      <c r="I329" s="23">
        <f>20700-40-2000</f>
        <v>18660</v>
      </c>
      <c r="J329" s="23">
        <v>16948</v>
      </c>
      <c r="K329" s="198">
        <f t="shared" si="78"/>
        <v>90.825294748124335</v>
      </c>
      <c r="L329" s="23"/>
      <c r="M329" s="23"/>
      <c r="N329" s="201"/>
      <c r="O329" s="23">
        <f t="shared" si="79"/>
        <v>18660</v>
      </c>
      <c r="P329" s="23">
        <f t="shared" si="80"/>
        <v>16948</v>
      </c>
      <c r="Q329" s="203">
        <f t="shared" si="81"/>
        <v>90.825294748124335</v>
      </c>
    </row>
    <row r="330" spans="2:17" x14ac:dyDescent="0.2">
      <c r="B330" s="72">
        <f t="shared" si="77"/>
        <v>322</v>
      </c>
      <c r="C330" s="4"/>
      <c r="D330" s="4"/>
      <c r="E330" s="4"/>
      <c r="F330" s="53" t="s">
        <v>269</v>
      </c>
      <c r="G330" s="4">
        <v>633</v>
      </c>
      <c r="H330" s="4" t="s">
        <v>131</v>
      </c>
      <c r="I330" s="23">
        <f>11808+1500+2992-398</f>
        <v>15902</v>
      </c>
      <c r="J330" s="23">
        <v>14423</v>
      </c>
      <c r="K330" s="198">
        <f t="shared" si="78"/>
        <v>90.699283109042881</v>
      </c>
      <c r="L330" s="23"/>
      <c r="M330" s="23"/>
      <c r="N330" s="201"/>
      <c r="O330" s="23">
        <f t="shared" si="79"/>
        <v>15902</v>
      </c>
      <c r="P330" s="23">
        <f t="shared" si="80"/>
        <v>14423</v>
      </c>
      <c r="Q330" s="203">
        <f t="shared" si="81"/>
        <v>90.699283109042881</v>
      </c>
    </row>
    <row r="331" spans="2:17" x14ac:dyDescent="0.2">
      <c r="B331" s="72">
        <f t="shared" si="77"/>
        <v>323</v>
      </c>
      <c r="C331" s="4"/>
      <c r="D331" s="4"/>
      <c r="E331" s="4"/>
      <c r="F331" s="53" t="s">
        <v>269</v>
      </c>
      <c r="G331" s="4">
        <v>634</v>
      </c>
      <c r="H331" s="4" t="s">
        <v>136</v>
      </c>
      <c r="I331" s="23">
        <v>315</v>
      </c>
      <c r="J331" s="23">
        <v>308</v>
      </c>
      <c r="K331" s="198">
        <f t="shared" si="78"/>
        <v>97.777777777777771</v>
      </c>
      <c r="L331" s="23"/>
      <c r="M331" s="23"/>
      <c r="N331" s="201"/>
      <c r="O331" s="23">
        <f t="shared" si="79"/>
        <v>315</v>
      </c>
      <c r="P331" s="23">
        <f t="shared" si="80"/>
        <v>308</v>
      </c>
      <c r="Q331" s="203">
        <f t="shared" si="81"/>
        <v>97.777777777777771</v>
      </c>
    </row>
    <row r="332" spans="2:17" x14ac:dyDescent="0.2">
      <c r="B332" s="72">
        <f t="shared" si="77"/>
        <v>324</v>
      </c>
      <c r="C332" s="4"/>
      <c r="D332" s="4"/>
      <c r="E332" s="4"/>
      <c r="F332" s="53" t="s">
        <v>269</v>
      </c>
      <c r="G332" s="4">
        <v>635</v>
      </c>
      <c r="H332" s="4" t="s">
        <v>137</v>
      </c>
      <c r="I332" s="23">
        <f>4180+273+398</f>
        <v>4851</v>
      </c>
      <c r="J332" s="23">
        <v>4851</v>
      </c>
      <c r="K332" s="198">
        <f t="shared" si="78"/>
        <v>100</v>
      </c>
      <c r="L332" s="23"/>
      <c r="M332" s="23"/>
      <c r="N332" s="201"/>
      <c r="O332" s="23">
        <f t="shared" si="79"/>
        <v>4851</v>
      </c>
      <c r="P332" s="23">
        <f t="shared" si="80"/>
        <v>4851</v>
      </c>
      <c r="Q332" s="203">
        <f t="shared" si="81"/>
        <v>100</v>
      </c>
    </row>
    <row r="333" spans="2:17" x14ac:dyDescent="0.2">
      <c r="B333" s="72">
        <f t="shared" si="77"/>
        <v>325</v>
      </c>
      <c r="C333" s="4"/>
      <c r="D333" s="4"/>
      <c r="E333" s="4"/>
      <c r="F333" s="130" t="s">
        <v>269</v>
      </c>
      <c r="G333" s="131">
        <v>635</v>
      </c>
      <c r="H333" s="131" t="s">
        <v>558</v>
      </c>
      <c r="I333" s="129">
        <v>2000</v>
      </c>
      <c r="J333" s="129">
        <v>2000</v>
      </c>
      <c r="K333" s="198">
        <f t="shared" si="78"/>
        <v>100</v>
      </c>
      <c r="L333" s="129"/>
      <c r="M333" s="129"/>
      <c r="N333" s="201"/>
      <c r="O333" s="129">
        <f t="shared" si="79"/>
        <v>2000</v>
      </c>
      <c r="P333" s="129">
        <f t="shared" si="80"/>
        <v>2000</v>
      </c>
      <c r="Q333" s="203">
        <f t="shared" si="81"/>
        <v>100</v>
      </c>
    </row>
    <row r="334" spans="2:17" x14ac:dyDescent="0.2">
      <c r="B334" s="72">
        <f t="shared" si="77"/>
        <v>326</v>
      </c>
      <c r="C334" s="4"/>
      <c r="D334" s="4"/>
      <c r="E334" s="4"/>
      <c r="F334" s="53" t="s">
        <v>269</v>
      </c>
      <c r="G334" s="4">
        <v>637</v>
      </c>
      <c r="H334" s="4" t="s">
        <v>128</v>
      </c>
      <c r="I334" s="23">
        <f>10313+4200+5177-956</f>
        <v>18734</v>
      </c>
      <c r="J334" s="23">
        <v>18476</v>
      </c>
      <c r="K334" s="198">
        <f t="shared" si="78"/>
        <v>98.622824810504966</v>
      </c>
      <c r="L334" s="23"/>
      <c r="M334" s="23"/>
      <c r="N334" s="201"/>
      <c r="O334" s="23">
        <f t="shared" si="79"/>
        <v>18734</v>
      </c>
      <c r="P334" s="23">
        <f t="shared" si="80"/>
        <v>18476</v>
      </c>
      <c r="Q334" s="203">
        <f t="shared" si="81"/>
        <v>98.622824810504966</v>
      </c>
    </row>
    <row r="335" spans="2:17" x14ac:dyDescent="0.2">
      <c r="B335" s="72">
        <f t="shared" si="77"/>
        <v>327</v>
      </c>
      <c r="C335" s="12"/>
      <c r="D335" s="12"/>
      <c r="E335" s="12"/>
      <c r="F335" s="52" t="s">
        <v>269</v>
      </c>
      <c r="G335" s="12">
        <v>640</v>
      </c>
      <c r="H335" s="12" t="s">
        <v>134</v>
      </c>
      <c r="I335" s="49">
        <f>1550-839-63</f>
        <v>648</v>
      </c>
      <c r="J335" s="49">
        <v>648</v>
      </c>
      <c r="K335" s="198">
        <f t="shared" si="78"/>
        <v>100</v>
      </c>
      <c r="L335" s="49"/>
      <c r="M335" s="49"/>
      <c r="N335" s="201"/>
      <c r="O335" s="49">
        <f t="shared" si="79"/>
        <v>648</v>
      </c>
      <c r="P335" s="49">
        <f t="shared" si="80"/>
        <v>648</v>
      </c>
      <c r="Q335" s="203">
        <f t="shared" si="81"/>
        <v>100</v>
      </c>
    </row>
    <row r="336" spans="2:17" x14ac:dyDescent="0.2">
      <c r="B336" s="72">
        <f t="shared" si="77"/>
        <v>328</v>
      </c>
      <c r="C336" s="12"/>
      <c r="D336" s="12"/>
      <c r="E336" s="12"/>
      <c r="F336" s="52" t="s">
        <v>269</v>
      </c>
      <c r="G336" s="12">
        <v>630</v>
      </c>
      <c r="H336" s="12" t="s">
        <v>692</v>
      </c>
      <c r="I336" s="49">
        <v>600</v>
      </c>
      <c r="J336" s="49">
        <v>64</v>
      </c>
      <c r="K336" s="198">
        <f t="shared" si="78"/>
        <v>10.666666666666668</v>
      </c>
      <c r="L336" s="49"/>
      <c r="M336" s="49"/>
      <c r="N336" s="201"/>
      <c r="O336" s="49">
        <f t="shared" si="79"/>
        <v>600</v>
      </c>
      <c r="P336" s="49">
        <f t="shared" si="80"/>
        <v>64</v>
      </c>
      <c r="Q336" s="203">
        <f t="shared" si="81"/>
        <v>10.666666666666668</v>
      </c>
    </row>
    <row r="337" spans="2:17" x14ac:dyDescent="0.2">
      <c r="B337" s="72">
        <f t="shared" si="77"/>
        <v>329</v>
      </c>
      <c r="C337" s="12"/>
      <c r="D337" s="12"/>
      <c r="E337" s="12"/>
      <c r="F337" s="52" t="s">
        <v>75</v>
      </c>
      <c r="G337" s="12">
        <v>630</v>
      </c>
      <c r="H337" s="12" t="s">
        <v>643</v>
      </c>
      <c r="I337" s="49">
        <f>173+500</f>
        <v>673</v>
      </c>
      <c r="J337" s="49">
        <v>664</v>
      </c>
      <c r="K337" s="198">
        <f t="shared" si="78"/>
        <v>98.662704309063898</v>
      </c>
      <c r="L337" s="49"/>
      <c r="M337" s="49"/>
      <c r="N337" s="201"/>
      <c r="O337" s="49">
        <f t="shared" si="79"/>
        <v>673</v>
      </c>
      <c r="P337" s="49">
        <f t="shared" si="80"/>
        <v>664</v>
      </c>
      <c r="Q337" s="203">
        <f t="shared" si="81"/>
        <v>98.662704309063898</v>
      </c>
    </row>
    <row r="338" spans="2:17" x14ac:dyDescent="0.2">
      <c r="B338" s="72">
        <f t="shared" si="77"/>
        <v>330</v>
      </c>
      <c r="C338" s="12"/>
      <c r="D338" s="12"/>
      <c r="E338" s="12"/>
      <c r="F338" s="52"/>
      <c r="G338" s="12"/>
      <c r="H338" s="12"/>
      <c r="I338" s="49"/>
      <c r="J338" s="49"/>
      <c r="K338" s="198"/>
      <c r="L338" s="49"/>
      <c r="M338" s="49"/>
      <c r="N338" s="201"/>
      <c r="O338" s="49"/>
      <c r="P338" s="49"/>
      <c r="Q338" s="203"/>
    </row>
    <row r="339" spans="2:17" x14ac:dyDescent="0.2">
      <c r="B339" s="72">
        <f t="shared" si="77"/>
        <v>331</v>
      </c>
      <c r="C339" s="12"/>
      <c r="D339" s="12"/>
      <c r="E339" s="12"/>
      <c r="F339" s="52"/>
      <c r="G339" s="12">
        <v>630</v>
      </c>
      <c r="H339" s="12" t="s">
        <v>596</v>
      </c>
      <c r="I339" s="49">
        <v>156</v>
      </c>
      <c r="J339" s="49">
        <v>156</v>
      </c>
      <c r="K339" s="198">
        <f>J339/I339*100</f>
        <v>100</v>
      </c>
      <c r="L339" s="49"/>
      <c r="M339" s="49"/>
      <c r="N339" s="201"/>
      <c r="O339" s="49">
        <f>L339+I339</f>
        <v>156</v>
      </c>
      <c r="P339" s="49">
        <f>M339+J339</f>
        <v>156</v>
      </c>
      <c r="Q339" s="203">
        <f>P339/O339*100</f>
        <v>100</v>
      </c>
    </row>
    <row r="340" spans="2:17" x14ac:dyDescent="0.2">
      <c r="B340" s="72">
        <f t="shared" si="77"/>
        <v>332</v>
      </c>
      <c r="C340" s="12"/>
      <c r="D340" s="12"/>
      <c r="E340" s="12"/>
      <c r="F340" s="52"/>
      <c r="G340" s="12"/>
      <c r="H340" s="12"/>
      <c r="I340" s="49"/>
      <c r="J340" s="49"/>
      <c r="K340" s="198"/>
      <c r="L340" s="49"/>
      <c r="M340" s="49"/>
      <c r="N340" s="201"/>
      <c r="O340" s="49"/>
      <c r="P340" s="49"/>
      <c r="Q340" s="203"/>
    </row>
    <row r="341" spans="2:17" x14ac:dyDescent="0.2">
      <c r="B341" s="72">
        <f t="shared" si="77"/>
        <v>333</v>
      </c>
      <c r="C341" s="12"/>
      <c r="D341" s="12"/>
      <c r="E341" s="12"/>
      <c r="F341" s="52" t="s">
        <v>269</v>
      </c>
      <c r="G341" s="12">
        <v>710</v>
      </c>
      <c r="H341" s="12" t="s">
        <v>183</v>
      </c>
      <c r="I341" s="49">
        <f>I344</f>
        <v>0</v>
      </c>
      <c r="J341" s="49">
        <f>J344</f>
        <v>0</v>
      </c>
      <c r="K341" s="198"/>
      <c r="L341" s="49">
        <f>L344+L342</f>
        <v>102000</v>
      </c>
      <c r="M341" s="49">
        <f>M344+M342</f>
        <v>6683</v>
      </c>
      <c r="N341" s="201">
        <f t="shared" si="82"/>
        <v>6.5519607843137244</v>
      </c>
      <c r="O341" s="49">
        <f>L341+I341</f>
        <v>102000</v>
      </c>
      <c r="P341" s="49">
        <f>M341+J341</f>
        <v>6683</v>
      </c>
      <c r="Q341" s="203">
        <f t="shared" ref="Q341:Q367" si="83">P341/O341*100</f>
        <v>6.5519607843137244</v>
      </c>
    </row>
    <row r="342" spans="2:17" x14ac:dyDescent="0.2">
      <c r="B342" s="72">
        <f t="shared" si="77"/>
        <v>334</v>
      </c>
      <c r="C342" s="12"/>
      <c r="D342" s="12"/>
      <c r="E342" s="12"/>
      <c r="F342" s="82" t="s">
        <v>269</v>
      </c>
      <c r="G342" s="83">
        <v>716</v>
      </c>
      <c r="H342" s="83" t="s">
        <v>0</v>
      </c>
      <c r="I342" s="84"/>
      <c r="J342" s="84"/>
      <c r="K342" s="198"/>
      <c r="L342" s="84">
        <f>L343</f>
        <v>4000</v>
      </c>
      <c r="M342" s="84">
        <f>M343</f>
        <v>3860</v>
      </c>
      <c r="N342" s="201">
        <f t="shared" si="82"/>
        <v>96.5</v>
      </c>
      <c r="O342" s="84">
        <f>I342+L342</f>
        <v>4000</v>
      </c>
      <c r="P342" s="84">
        <f>J342+M342</f>
        <v>3860</v>
      </c>
      <c r="Q342" s="203">
        <f t="shared" si="83"/>
        <v>96.5</v>
      </c>
    </row>
    <row r="343" spans="2:17" x14ac:dyDescent="0.2">
      <c r="B343" s="72">
        <f t="shared" si="77"/>
        <v>335</v>
      </c>
      <c r="C343" s="12"/>
      <c r="D343" s="12"/>
      <c r="E343" s="12"/>
      <c r="F343" s="52"/>
      <c r="G343" s="12"/>
      <c r="H343" s="151" t="s">
        <v>666</v>
      </c>
      <c r="I343" s="49"/>
      <c r="J343" s="49"/>
      <c r="K343" s="198"/>
      <c r="L343" s="58">
        <f>2900+1100</f>
        <v>4000</v>
      </c>
      <c r="M343" s="58">
        <v>3860</v>
      </c>
      <c r="N343" s="201">
        <f t="shared" si="82"/>
        <v>96.5</v>
      </c>
      <c r="O343" s="58">
        <f>L343</f>
        <v>4000</v>
      </c>
      <c r="P343" s="58">
        <f>M343</f>
        <v>3860</v>
      </c>
      <c r="Q343" s="203">
        <f t="shared" si="83"/>
        <v>96.5</v>
      </c>
    </row>
    <row r="344" spans="2:17" x14ac:dyDescent="0.2">
      <c r="B344" s="72">
        <f t="shared" si="77"/>
        <v>336</v>
      </c>
      <c r="C344" s="4"/>
      <c r="D344" s="4"/>
      <c r="E344" s="4"/>
      <c r="F344" s="82" t="s">
        <v>269</v>
      </c>
      <c r="G344" s="83">
        <v>717</v>
      </c>
      <c r="H344" s="83" t="s">
        <v>193</v>
      </c>
      <c r="I344" s="84"/>
      <c r="J344" s="84"/>
      <c r="K344" s="198"/>
      <c r="L344" s="84">
        <f>SUM(L345:L346)</f>
        <v>98000</v>
      </c>
      <c r="M344" s="84">
        <f>SUM(M345:M346)</f>
        <v>2823</v>
      </c>
      <c r="N344" s="201">
        <f t="shared" si="82"/>
        <v>2.8806122448979594</v>
      </c>
      <c r="O344" s="84">
        <f t="shared" ref="O344:O367" si="84">L344+I344</f>
        <v>98000</v>
      </c>
      <c r="P344" s="84">
        <f t="shared" ref="P344:P367" si="85">M344+J344</f>
        <v>2823</v>
      </c>
      <c r="Q344" s="203">
        <f t="shared" si="83"/>
        <v>2.8806122448979594</v>
      </c>
    </row>
    <row r="345" spans="2:17" x14ac:dyDescent="0.2">
      <c r="B345" s="72">
        <f t="shared" si="77"/>
        <v>337</v>
      </c>
      <c r="C345" s="4"/>
      <c r="D345" s="4"/>
      <c r="E345" s="4"/>
      <c r="F345" s="53"/>
      <c r="G345" s="4"/>
      <c r="H345" s="4" t="s">
        <v>684</v>
      </c>
      <c r="I345" s="23"/>
      <c r="J345" s="23"/>
      <c r="K345" s="198"/>
      <c r="L345" s="23">
        <f>34000+30000+21000-2900-1100</f>
        <v>81000</v>
      </c>
      <c r="M345" s="23">
        <f>2283+540</f>
        <v>2823</v>
      </c>
      <c r="N345" s="201">
        <f t="shared" si="82"/>
        <v>3.4851851851851849</v>
      </c>
      <c r="O345" s="23">
        <f t="shared" si="84"/>
        <v>81000</v>
      </c>
      <c r="P345" s="23">
        <f t="shared" si="85"/>
        <v>2823</v>
      </c>
      <c r="Q345" s="203">
        <f t="shared" si="83"/>
        <v>3.4851851851851849</v>
      </c>
    </row>
    <row r="346" spans="2:17" x14ac:dyDescent="0.2">
      <c r="B346" s="72">
        <f t="shared" si="77"/>
        <v>338</v>
      </c>
      <c r="C346" s="4"/>
      <c r="D346" s="4"/>
      <c r="E346" s="4"/>
      <c r="F346" s="53"/>
      <c r="G346" s="4"/>
      <c r="H346" s="4" t="s">
        <v>649</v>
      </c>
      <c r="I346" s="23"/>
      <c r="J346" s="23"/>
      <c r="K346" s="198"/>
      <c r="L346" s="23">
        <v>17000</v>
      </c>
      <c r="M346" s="23"/>
      <c r="N346" s="201">
        <f t="shared" si="82"/>
        <v>0</v>
      </c>
      <c r="O346" s="23">
        <f t="shared" si="84"/>
        <v>17000</v>
      </c>
      <c r="P346" s="23">
        <f t="shared" si="85"/>
        <v>0</v>
      </c>
      <c r="Q346" s="203">
        <f t="shared" si="83"/>
        <v>0</v>
      </c>
    </row>
    <row r="347" spans="2:17" ht="15" x14ac:dyDescent="0.25">
      <c r="B347" s="72">
        <f t="shared" si="77"/>
        <v>339</v>
      </c>
      <c r="C347" s="15"/>
      <c r="D347" s="15"/>
      <c r="E347" s="15">
        <v>10</v>
      </c>
      <c r="F347" s="50"/>
      <c r="G347" s="15"/>
      <c r="H347" s="15" t="s">
        <v>255</v>
      </c>
      <c r="I347" s="47">
        <f>I348+I349+I350+I356+I357+I358+I359+I366+I371+I369+I367</f>
        <v>432961</v>
      </c>
      <c r="J347" s="47">
        <f>J348+J349+J350+J356+J357+J358+J359++J366+J367+J369</f>
        <v>432961</v>
      </c>
      <c r="K347" s="198">
        <f t="shared" ref="K347:K367" si="86">J347/I347*100</f>
        <v>100</v>
      </c>
      <c r="L347" s="47">
        <f>L348+L349+L350+L356+L357+L358+L359+L366+L371</f>
        <v>120660</v>
      </c>
      <c r="M347" s="47">
        <f>M348+M349+M350+M356+M357+M358+M359+M366+M371</f>
        <v>102370</v>
      </c>
      <c r="N347" s="201">
        <f t="shared" si="82"/>
        <v>84.841703961544837</v>
      </c>
      <c r="O347" s="47">
        <f t="shared" si="84"/>
        <v>553621</v>
      </c>
      <c r="P347" s="47">
        <f t="shared" si="85"/>
        <v>535331</v>
      </c>
      <c r="Q347" s="203">
        <f t="shared" si="83"/>
        <v>96.696295841378856</v>
      </c>
    </row>
    <row r="348" spans="2:17" x14ac:dyDescent="0.2">
      <c r="B348" s="72">
        <f t="shared" si="77"/>
        <v>340</v>
      </c>
      <c r="C348" s="12"/>
      <c r="D348" s="12"/>
      <c r="E348" s="12"/>
      <c r="F348" s="52" t="s">
        <v>125</v>
      </c>
      <c r="G348" s="12">
        <v>610</v>
      </c>
      <c r="H348" s="12" t="s">
        <v>135</v>
      </c>
      <c r="I348" s="49">
        <f>96918+6344+635</f>
        <v>103897</v>
      </c>
      <c r="J348" s="49">
        <v>103898</v>
      </c>
      <c r="K348" s="198">
        <f t="shared" si="86"/>
        <v>100.00096249169852</v>
      </c>
      <c r="L348" s="49"/>
      <c r="M348" s="49"/>
      <c r="N348" s="201"/>
      <c r="O348" s="49">
        <f t="shared" si="84"/>
        <v>103897</v>
      </c>
      <c r="P348" s="49">
        <f t="shared" si="85"/>
        <v>103898</v>
      </c>
      <c r="Q348" s="203">
        <f t="shared" si="83"/>
        <v>100.00096249169852</v>
      </c>
    </row>
    <row r="349" spans="2:17" x14ac:dyDescent="0.2">
      <c r="B349" s="72">
        <f t="shared" si="77"/>
        <v>341</v>
      </c>
      <c r="C349" s="12"/>
      <c r="D349" s="12"/>
      <c r="E349" s="12"/>
      <c r="F349" s="52" t="s">
        <v>125</v>
      </c>
      <c r="G349" s="12">
        <v>620</v>
      </c>
      <c r="H349" s="12" t="s">
        <v>130</v>
      </c>
      <c r="I349" s="49">
        <f>33873+2703-432</f>
        <v>36144</v>
      </c>
      <c r="J349" s="49">
        <v>36143</v>
      </c>
      <c r="K349" s="198">
        <f t="shared" si="86"/>
        <v>99.99723328906596</v>
      </c>
      <c r="L349" s="49"/>
      <c r="M349" s="49"/>
      <c r="N349" s="201"/>
      <c r="O349" s="49">
        <f t="shared" si="84"/>
        <v>36144</v>
      </c>
      <c r="P349" s="49">
        <f t="shared" si="85"/>
        <v>36143</v>
      </c>
      <c r="Q349" s="203">
        <f t="shared" si="83"/>
        <v>99.99723328906596</v>
      </c>
    </row>
    <row r="350" spans="2:17" x14ac:dyDescent="0.2">
      <c r="B350" s="72">
        <f t="shared" si="77"/>
        <v>342</v>
      </c>
      <c r="C350" s="12"/>
      <c r="D350" s="12"/>
      <c r="E350" s="12"/>
      <c r="F350" s="52" t="s">
        <v>125</v>
      </c>
      <c r="G350" s="12">
        <v>630</v>
      </c>
      <c r="H350" s="12" t="s">
        <v>127</v>
      </c>
      <c r="I350" s="49">
        <f>I355+I354+I353+I352+I351</f>
        <v>24949</v>
      </c>
      <c r="J350" s="49">
        <f>J355+J354+J353+J352+J351</f>
        <v>24948</v>
      </c>
      <c r="K350" s="198">
        <f t="shared" si="86"/>
        <v>99.995991823319571</v>
      </c>
      <c r="L350" s="49">
        <v>0</v>
      </c>
      <c r="M350" s="49"/>
      <c r="N350" s="201"/>
      <c r="O350" s="49">
        <f t="shared" si="84"/>
        <v>24949</v>
      </c>
      <c r="P350" s="49">
        <f t="shared" si="85"/>
        <v>24948</v>
      </c>
      <c r="Q350" s="203">
        <f t="shared" si="83"/>
        <v>99.995991823319571</v>
      </c>
    </row>
    <row r="351" spans="2:17" x14ac:dyDescent="0.2">
      <c r="B351" s="72">
        <f t="shared" si="77"/>
        <v>343</v>
      </c>
      <c r="C351" s="4"/>
      <c r="D351" s="4"/>
      <c r="E351" s="4"/>
      <c r="F351" s="53" t="s">
        <v>125</v>
      </c>
      <c r="G351" s="4">
        <v>631</v>
      </c>
      <c r="H351" s="4" t="s">
        <v>133</v>
      </c>
      <c r="I351" s="23">
        <f>200-110-15</f>
        <v>75</v>
      </c>
      <c r="J351" s="23">
        <v>74</v>
      </c>
      <c r="K351" s="198">
        <f t="shared" si="86"/>
        <v>98.666666666666671</v>
      </c>
      <c r="L351" s="23"/>
      <c r="M351" s="23"/>
      <c r="N351" s="201"/>
      <c r="O351" s="23">
        <f t="shared" si="84"/>
        <v>75</v>
      </c>
      <c r="P351" s="23">
        <f t="shared" si="85"/>
        <v>74</v>
      </c>
      <c r="Q351" s="203">
        <f t="shared" si="83"/>
        <v>98.666666666666671</v>
      </c>
    </row>
    <row r="352" spans="2:17" x14ac:dyDescent="0.2">
      <c r="B352" s="72">
        <f t="shared" si="77"/>
        <v>344</v>
      </c>
      <c r="C352" s="4"/>
      <c r="D352" s="4"/>
      <c r="E352" s="4"/>
      <c r="F352" s="53" t="s">
        <v>125</v>
      </c>
      <c r="G352" s="4">
        <v>632</v>
      </c>
      <c r="H352" s="4" t="s">
        <v>138</v>
      </c>
      <c r="I352" s="23">
        <f>8860-4000-2065</f>
        <v>2795</v>
      </c>
      <c r="J352" s="23">
        <v>2795</v>
      </c>
      <c r="K352" s="198">
        <f t="shared" si="86"/>
        <v>100</v>
      </c>
      <c r="L352" s="23"/>
      <c r="M352" s="23"/>
      <c r="N352" s="201"/>
      <c r="O352" s="23">
        <f t="shared" si="84"/>
        <v>2795</v>
      </c>
      <c r="P352" s="23">
        <f t="shared" si="85"/>
        <v>2795</v>
      </c>
      <c r="Q352" s="203">
        <f t="shared" si="83"/>
        <v>100</v>
      </c>
    </row>
    <row r="353" spans="2:17" x14ac:dyDescent="0.2">
      <c r="B353" s="72">
        <f t="shared" si="77"/>
        <v>345</v>
      </c>
      <c r="C353" s="4"/>
      <c r="D353" s="4"/>
      <c r="E353" s="4"/>
      <c r="F353" s="53" t="s">
        <v>125</v>
      </c>
      <c r="G353" s="4">
        <v>633</v>
      </c>
      <c r="H353" s="4" t="s">
        <v>131</v>
      </c>
      <c r="I353" s="23">
        <f>5080+4000+637-276</f>
        <v>9441</v>
      </c>
      <c r="J353" s="23">
        <v>9441</v>
      </c>
      <c r="K353" s="198">
        <f t="shared" si="86"/>
        <v>100</v>
      </c>
      <c r="L353" s="23"/>
      <c r="M353" s="23"/>
      <c r="N353" s="201"/>
      <c r="O353" s="23">
        <f t="shared" si="84"/>
        <v>9441</v>
      </c>
      <c r="P353" s="23">
        <f t="shared" si="85"/>
        <v>9441</v>
      </c>
      <c r="Q353" s="203">
        <f t="shared" si="83"/>
        <v>100</v>
      </c>
    </row>
    <row r="354" spans="2:17" x14ac:dyDescent="0.2">
      <c r="B354" s="72">
        <f t="shared" si="77"/>
        <v>346</v>
      </c>
      <c r="C354" s="4"/>
      <c r="D354" s="4"/>
      <c r="E354" s="4"/>
      <c r="F354" s="53" t="s">
        <v>125</v>
      </c>
      <c r="G354" s="4">
        <v>635</v>
      </c>
      <c r="H354" s="4" t="s">
        <v>137</v>
      </c>
      <c r="I354" s="23">
        <v>1890</v>
      </c>
      <c r="J354" s="23">
        <v>1890</v>
      </c>
      <c r="K354" s="198">
        <f t="shared" si="86"/>
        <v>100</v>
      </c>
      <c r="L354" s="23"/>
      <c r="M354" s="23"/>
      <c r="N354" s="201"/>
      <c r="O354" s="23">
        <f t="shared" si="84"/>
        <v>1890</v>
      </c>
      <c r="P354" s="23">
        <f t="shared" si="85"/>
        <v>1890</v>
      </c>
      <c r="Q354" s="203">
        <f t="shared" si="83"/>
        <v>100</v>
      </c>
    </row>
    <row r="355" spans="2:17" x14ac:dyDescent="0.2">
      <c r="B355" s="72">
        <f t="shared" si="77"/>
        <v>347</v>
      </c>
      <c r="C355" s="4"/>
      <c r="D355" s="4"/>
      <c r="E355" s="4"/>
      <c r="F355" s="53" t="s">
        <v>125</v>
      </c>
      <c r="G355" s="4">
        <v>637</v>
      </c>
      <c r="H355" s="4" t="s">
        <v>128</v>
      </c>
      <c r="I355" s="23">
        <f>3946+5060+1742</f>
        <v>10748</v>
      </c>
      <c r="J355" s="23">
        <v>10748</v>
      </c>
      <c r="K355" s="198">
        <f t="shared" si="86"/>
        <v>100</v>
      </c>
      <c r="L355" s="23"/>
      <c r="M355" s="23"/>
      <c r="N355" s="201"/>
      <c r="O355" s="23">
        <f t="shared" si="84"/>
        <v>10748</v>
      </c>
      <c r="P355" s="23">
        <f t="shared" si="85"/>
        <v>10748</v>
      </c>
      <c r="Q355" s="203">
        <f t="shared" si="83"/>
        <v>100</v>
      </c>
    </row>
    <row r="356" spans="2:17" x14ac:dyDescent="0.2">
      <c r="B356" s="72">
        <f t="shared" si="77"/>
        <v>348</v>
      </c>
      <c r="C356" s="12"/>
      <c r="D356" s="12"/>
      <c r="E356" s="12"/>
      <c r="F356" s="52" t="s">
        <v>125</v>
      </c>
      <c r="G356" s="12">
        <v>640</v>
      </c>
      <c r="H356" s="12" t="s">
        <v>134</v>
      </c>
      <c r="I356" s="49">
        <f>100+336</f>
        <v>436</v>
      </c>
      <c r="J356" s="49">
        <v>436</v>
      </c>
      <c r="K356" s="198">
        <f t="shared" si="86"/>
        <v>100</v>
      </c>
      <c r="L356" s="49"/>
      <c r="M356" s="49"/>
      <c r="N356" s="201"/>
      <c r="O356" s="49">
        <f t="shared" si="84"/>
        <v>436</v>
      </c>
      <c r="P356" s="49">
        <f t="shared" si="85"/>
        <v>436</v>
      </c>
      <c r="Q356" s="203">
        <f t="shared" si="83"/>
        <v>100</v>
      </c>
    </row>
    <row r="357" spans="2:17" x14ac:dyDescent="0.2">
      <c r="B357" s="72">
        <f t="shared" si="77"/>
        <v>349</v>
      </c>
      <c r="C357" s="12"/>
      <c r="D357" s="12"/>
      <c r="E357" s="12"/>
      <c r="F357" s="52" t="s">
        <v>269</v>
      </c>
      <c r="G357" s="12">
        <v>610</v>
      </c>
      <c r="H357" s="12" t="s">
        <v>135</v>
      </c>
      <c r="I357" s="49">
        <f>124619+1001+7633-1064</f>
        <v>132189</v>
      </c>
      <c r="J357" s="49">
        <v>132188</v>
      </c>
      <c r="K357" s="198">
        <f t="shared" si="86"/>
        <v>99.999243507402284</v>
      </c>
      <c r="L357" s="49"/>
      <c r="M357" s="49"/>
      <c r="N357" s="201"/>
      <c r="O357" s="49">
        <f t="shared" si="84"/>
        <v>132189</v>
      </c>
      <c r="P357" s="49">
        <f t="shared" si="85"/>
        <v>132188</v>
      </c>
      <c r="Q357" s="203">
        <f t="shared" si="83"/>
        <v>99.999243507402284</v>
      </c>
    </row>
    <row r="358" spans="2:17" x14ac:dyDescent="0.2">
      <c r="B358" s="72">
        <f t="shared" si="77"/>
        <v>350</v>
      </c>
      <c r="C358" s="12"/>
      <c r="D358" s="12"/>
      <c r="E358" s="12"/>
      <c r="F358" s="52" t="s">
        <v>269</v>
      </c>
      <c r="G358" s="12">
        <v>620</v>
      </c>
      <c r="H358" s="12" t="s">
        <v>130</v>
      </c>
      <c r="I358" s="49">
        <f>43557+350+2940+334</f>
        <v>47181</v>
      </c>
      <c r="J358" s="49">
        <v>47181</v>
      </c>
      <c r="K358" s="198">
        <f t="shared" si="86"/>
        <v>100</v>
      </c>
      <c r="L358" s="49"/>
      <c r="M358" s="49"/>
      <c r="N358" s="201"/>
      <c r="O358" s="49">
        <f t="shared" si="84"/>
        <v>47181</v>
      </c>
      <c r="P358" s="49">
        <f t="shared" si="85"/>
        <v>47181</v>
      </c>
      <c r="Q358" s="203">
        <f t="shared" si="83"/>
        <v>100</v>
      </c>
    </row>
    <row r="359" spans="2:17" x14ac:dyDescent="0.2">
      <c r="B359" s="72">
        <f t="shared" si="77"/>
        <v>351</v>
      </c>
      <c r="C359" s="12"/>
      <c r="D359" s="12"/>
      <c r="E359" s="12"/>
      <c r="F359" s="52" t="s">
        <v>269</v>
      </c>
      <c r="G359" s="12">
        <v>630</v>
      </c>
      <c r="H359" s="12" t="s">
        <v>127</v>
      </c>
      <c r="I359" s="49">
        <f>I365+I364+I363+I362+I361+I360</f>
        <v>79318</v>
      </c>
      <c r="J359" s="49">
        <f>J365+J364+J363+J362+J361+J360</f>
        <v>79320</v>
      </c>
      <c r="K359" s="198">
        <f t="shared" si="86"/>
        <v>100.00252149575128</v>
      </c>
      <c r="L359" s="49">
        <f>L365+L364+L363+L362+L361+L360</f>
        <v>0</v>
      </c>
      <c r="M359" s="49">
        <f>M365+M364+M363+M362+M361+M360</f>
        <v>0</v>
      </c>
      <c r="N359" s="201"/>
      <c r="O359" s="49">
        <f t="shared" si="84"/>
        <v>79318</v>
      </c>
      <c r="P359" s="49">
        <f t="shared" si="85"/>
        <v>79320</v>
      </c>
      <c r="Q359" s="203">
        <f t="shared" si="83"/>
        <v>100.00252149575128</v>
      </c>
    </row>
    <row r="360" spans="2:17" x14ac:dyDescent="0.2">
      <c r="B360" s="72">
        <f t="shared" si="77"/>
        <v>352</v>
      </c>
      <c r="C360" s="4"/>
      <c r="D360" s="4"/>
      <c r="E360" s="4"/>
      <c r="F360" s="53" t="s">
        <v>269</v>
      </c>
      <c r="G360" s="4">
        <v>631</v>
      </c>
      <c r="H360" s="4" t="s">
        <v>133</v>
      </c>
      <c r="I360" s="23">
        <f>350-300</f>
        <v>50</v>
      </c>
      <c r="J360" s="23">
        <v>50</v>
      </c>
      <c r="K360" s="198">
        <f t="shared" si="86"/>
        <v>100</v>
      </c>
      <c r="L360" s="23"/>
      <c r="M360" s="23"/>
      <c r="N360" s="201"/>
      <c r="O360" s="23">
        <f t="shared" si="84"/>
        <v>50</v>
      </c>
      <c r="P360" s="23">
        <f t="shared" si="85"/>
        <v>50</v>
      </c>
      <c r="Q360" s="203">
        <f t="shared" si="83"/>
        <v>100</v>
      </c>
    </row>
    <row r="361" spans="2:17" x14ac:dyDescent="0.2">
      <c r="B361" s="72">
        <f t="shared" ref="B361:B422" si="87">B360+1</f>
        <v>353</v>
      </c>
      <c r="C361" s="4"/>
      <c r="D361" s="4"/>
      <c r="E361" s="4"/>
      <c r="F361" s="53" t="s">
        <v>269</v>
      </c>
      <c r="G361" s="4">
        <v>632</v>
      </c>
      <c r="H361" s="4" t="s">
        <v>138</v>
      </c>
      <c r="I361" s="23">
        <f>58485-13990-1200-5000</f>
        <v>38295</v>
      </c>
      <c r="J361" s="23">
        <v>38297</v>
      </c>
      <c r="K361" s="198">
        <f t="shared" si="86"/>
        <v>100.00522261391826</v>
      </c>
      <c r="L361" s="23"/>
      <c r="M361" s="23"/>
      <c r="N361" s="201"/>
      <c r="O361" s="23">
        <f t="shared" si="84"/>
        <v>38295</v>
      </c>
      <c r="P361" s="23">
        <f t="shared" si="85"/>
        <v>38297</v>
      </c>
      <c r="Q361" s="203">
        <f t="shared" si="83"/>
        <v>100.00522261391826</v>
      </c>
    </row>
    <row r="362" spans="2:17" x14ac:dyDescent="0.2">
      <c r="B362" s="72">
        <f t="shared" si="87"/>
        <v>354</v>
      </c>
      <c r="C362" s="4"/>
      <c r="D362" s="4"/>
      <c r="E362" s="4"/>
      <c r="F362" s="53" t="s">
        <v>269</v>
      </c>
      <c r="G362" s="4">
        <v>633</v>
      </c>
      <c r="H362" s="4" t="s">
        <v>131</v>
      </c>
      <c r="I362" s="23">
        <f>9467+4000+8412+867</f>
        <v>22746</v>
      </c>
      <c r="J362" s="23">
        <v>22744</v>
      </c>
      <c r="K362" s="198">
        <f t="shared" si="86"/>
        <v>99.99120724522993</v>
      </c>
      <c r="L362" s="23"/>
      <c r="M362" s="23"/>
      <c r="N362" s="201"/>
      <c r="O362" s="23">
        <f t="shared" si="84"/>
        <v>22746</v>
      </c>
      <c r="P362" s="23">
        <f t="shared" si="85"/>
        <v>22744</v>
      </c>
      <c r="Q362" s="203">
        <f t="shared" si="83"/>
        <v>99.99120724522993</v>
      </c>
    </row>
    <row r="363" spans="2:17" x14ac:dyDescent="0.2">
      <c r="B363" s="72">
        <f t="shared" si="87"/>
        <v>355</v>
      </c>
      <c r="C363" s="4"/>
      <c r="D363" s="4"/>
      <c r="E363" s="4"/>
      <c r="F363" s="53" t="s">
        <v>269</v>
      </c>
      <c r="G363" s="4">
        <v>635</v>
      </c>
      <c r="H363" s="4" t="s">
        <v>137</v>
      </c>
      <c r="I363" s="23">
        <v>1850</v>
      </c>
      <c r="J363" s="23">
        <v>1852</v>
      </c>
      <c r="K363" s="198">
        <f t="shared" si="86"/>
        <v>100.10810810810811</v>
      </c>
      <c r="L363" s="23"/>
      <c r="M363" s="23"/>
      <c r="N363" s="201"/>
      <c r="O363" s="23">
        <f t="shared" si="84"/>
        <v>1850</v>
      </c>
      <c r="P363" s="23">
        <f t="shared" si="85"/>
        <v>1852</v>
      </c>
      <c r="Q363" s="203">
        <f t="shared" si="83"/>
        <v>100.10810810810811</v>
      </c>
    </row>
    <row r="364" spans="2:17" x14ac:dyDescent="0.2">
      <c r="B364" s="72">
        <f t="shared" si="87"/>
        <v>356</v>
      </c>
      <c r="C364" s="4"/>
      <c r="D364" s="4"/>
      <c r="E364" s="4"/>
      <c r="F364" s="53" t="s">
        <v>269</v>
      </c>
      <c r="G364" s="4">
        <v>636</v>
      </c>
      <c r="H364" s="4" t="s">
        <v>132</v>
      </c>
      <c r="I364" s="23">
        <v>1650</v>
      </c>
      <c r="J364" s="23">
        <v>1650</v>
      </c>
      <c r="K364" s="198">
        <f t="shared" si="86"/>
        <v>100</v>
      </c>
      <c r="L364" s="23"/>
      <c r="M364" s="23"/>
      <c r="N364" s="201"/>
      <c r="O364" s="23">
        <f t="shared" si="84"/>
        <v>1650</v>
      </c>
      <c r="P364" s="23">
        <f t="shared" si="85"/>
        <v>1650</v>
      </c>
      <c r="Q364" s="203">
        <f t="shared" si="83"/>
        <v>100</v>
      </c>
    </row>
    <row r="365" spans="2:17" x14ac:dyDescent="0.2">
      <c r="B365" s="72">
        <f t="shared" si="87"/>
        <v>357</v>
      </c>
      <c r="C365" s="4"/>
      <c r="D365" s="4"/>
      <c r="E365" s="4"/>
      <c r="F365" s="53" t="s">
        <v>269</v>
      </c>
      <c r="G365" s="4">
        <v>637</v>
      </c>
      <c r="H365" s="4" t="s">
        <v>128</v>
      </c>
      <c r="I365" s="23">
        <f>6457+5250+2788+232</f>
        <v>14727</v>
      </c>
      <c r="J365" s="23">
        <v>14727</v>
      </c>
      <c r="K365" s="198">
        <f t="shared" si="86"/>
        <v>100</v>
      </c>
      <c r="L365" s="23"/>
      <c r="M365" s="23"/>
      <c r="N365" s="201"/>
      <c r="O365" s="23">
        <f t="shared" si="84"/>
        <v>14727</v>
      </c>
      <c r="P365" s="23">
        <f t="shared" si="85"/>
        <v>14727</v>
      </c>
      <c r="Q365" s="203">
        <f t="shared" si="83"/>
        <v>100</v>
      </c>
    </row>
    <row r="366" spans="2:17" x14ac:dyDescent="0.2">
      <c r="B366" s="72">
        <f t="shared" si="87"/>
        <v>358</v>
      </c>
      <c r="C366" s="12"/>
      <c r="D366" s="12"/>
      <c r="E366" s="12"/>
      <c r="F366" s="52" t="s">
        <v>269</v>
      </c>
      <c r="G366" s="12">
        <v>640</v>
      </c>
      <c r="H366" s="12" t="s">
        <v>134</v>
      </c>
      <c r="I366" s="49">
        <f>500-85+42</f>
        <v>457</v>
      </c>
      <c r="J366" s="49">
        <v>457</v>
      </c>
      <c r="K366" s="198">
        <f t="shared" si="86"/>
        <v>100</v>
      </c>
      <c r="L366" s="49"/>
      <c r="M366" s="49"/>
      <c r="N366" s="201"/>
      <c r="O366" s="49">
        <f t="shared" si="84"/>
        <v>457</v>
      </c>
      <c r="P366" s="49">
        <f t="shared" si="85"/>
        <v>457</v>
      </c>
      <c r="Q366" s="203">
        <f t="shared" si="83"/>
        <v>100</v>
      </c>
    </row>
    <row r="367" spans="2:17" x14ac:dyDescent="0.2">
      <c r="B367" s="72">
        <f t="shared" si="87"/>
        <v>359</v>
      </c>
      <c r="C367" s="12"/>
      <c r="D367" s="12"/>
      <c r="E367" s="12"/>
      <c r="F367" s="52" t="s">
        <v>75</v>
      </c>
      <c r="G367" s="12">
        <v>630</v>
      </c>
      <c r="H367" s="12" t="s">
        <v>643</v>
      </c>
      <c r="I367" s="49">
        <f>126+340-8</f>
        <v>458</v>
      </c>
      <c r="J367" s="49">
        <v>458</v>
      </c>
      <c r="K367" s="198">
        <f t="shared" si="86"/>
        <v>100</v>
      </c>
      <c r="L367" s="49"/>
      <c r="M367" s="49"/>
      <c r="N367" s="201"/>
      <c r="O367" s="49">
        <f t="shared" si="84"/>
        <v>458</v>
      </c>
      <c r="P367" s="49">
        <f t="shared" si="85"/>
        <v>458</v>
      </c>
      <c r="Q367" s="203">
        <f t="shared" si="83"/>
        <v>100</v>
      </c>
    </row>
    <row r="368" spans="2:17" x14ac:dyDescent="0.2">
      <c r="B368" s="72">
        <f t="shared" si="87"/>
        <v>360</v>
      </c>
      <c r="C368" s="12"/>
      <c r="D368" s="12"/>
      <c r="E368" s="12"/>
      <c r="F368" s="52"/>
      <c r="G368" s="12"/>
      <c r="H368" s="12"/>
      <c r="I368" s="49"/>
      <c r="J368" s="49"/>
      <c r="K368" s="198"/>
      <c r="L368" s="49"/>
      <c r="M368" s="49"/>
      <c r="N368" s="201"/>
      <c r="O368" s="49"/>
      <c r="P368" s="49"/>
      <c r="Q368" s="203"/>
    </row>
    <row r="369" spans="2:17" x14ac:dyDescent="0.2">
      <c r="B369" s="72">
        <f t="shared" si="87"/>
        <v>361</v>
      </c>
      <c r="C369" s="12"/>
      <c r="D369" s="12"/>
      <c r="E369" s="12"/>
      <c r="F369" s="52"/>
      <c r="G369" s="12">
        <v>630</v>
      </c>
      <c r="H369" s="12" t="s">
        <v>596</v>
      </c>
      <c r="I369" s="49">
        <v>7932</v>
      </c>
      <c r="J369" s="49">
        <v>7932</v>
      </c>
      <c r="K369" s="198">
        <f>J369/I369*100</f>
        <v>100</v>
      </c>
      <c r="L369" s="49"/>
      <c r="M369" s="49"/>
      <c r="N369" s="201"/>
      <c r="O369" s="49">
        <f>L369+I369</f>
        <v>7932</v>
      </c>
      <c r="P369" s="49">
        <f>M369+J369</f>
        <v>7932</v>
      </c>
      <c r="Q369" s="203">
        <f>P369/O369*100</f>
        <v>100</v>
      </c>
    </row>
    <row r="370" spans="2:17" x14ac:dyDescent="0.2">
      <c r="B370" s="72">
        <f t="shared" si="87"/>
        <v>362</v>
      </c>
      <c r="C370" s="12"/>
      <c r="D370" s="12"/>
      <c r="E370" s="12"/>
      <c r="F370" s="52"/>
      <c r="G370" s="12"/>
      <c r="H370" s="12"/>
      <c r="I370" s="49"/>
      <c r="J370" s="49"/>
      <c r="K370" s="198"/>
      <c r="L370" s="49"/>
      <c r="M370" s="49"/>
      <c r="N370" s="201"/>
      <c r="O370" s="49"/>
      <c r="P370" s="49"/>
      <c r="Q370" s="203"/>
    </row>
    <row r="371" spans="2:17" x14ac:dyDescent="0.2">
      <c r="B371" s="72">
        <f t="shared" si="87"/>
        <v>363</v>
      </c>
      <c r="C371" s="12"/>
      <c r="D371" s="12"/>
      <c r="E371" s="12"/>
      <c r="F371" s="52" t="s">
        <v>125</v>
      </c>
      <c r="G371" s="12">
        <v>710</v>
      </c>
      <c r="H371" s="12" t="s">
        <v>183</v>
      </c>
      <c r="I371" s="49">
        <f>I377</f>
        <v>0</v>
      </c>
      <c r="J371" s="49">
        <f>J377</f>
        <v>0</v>
      </c>
      <c r="K371" s="198"/>
      <c r="L371" s="49">
        <f>L377+L374+L372</f>
        <v>120660</v>
      </c>
      <c r="M371" s="49">
        <f>M377+M374+M372</f>
        <v>102370</v>
      </c>
      <c r="N371" s="201">
        <f t="shared" ref="N371:N381" si="88">M371/L371*100</f>
        <v>84.841703961544837</v>
      </c>
      <c r="O371" s="49">
        <f>L371+I371</f>
        <v>120660</v>
      </c>
      <c r="P371" s="49">
        <f>M371+J371</f>
        <v>102370</v>
      </c>
      <c r="Q371" s="203">
        <f t="shared" ref="Q371:Q377" si="89">P371/O371*100</f>
        <v>84.841703961544837</v>
      </c>
    </row>
    <row r="372" spans="2:17" x14ac:dyDescent="0.2">
      <c r="B372" s="72">
        <f t="shared" si="87"/>
        <v>364</v>
      </c>
      <c r="C372" s="12"/>
      <c r="D372" s="12"/>
      <c r="E372" s="12"/>
      <c r="F372" s="82" t="s">
        <v>269</v>
      </c>
      <c r="G372" s="83">
        <v>713</v>
      </c>
      <c r="H372" s="83" t="s">
        <v>4</v>
      </c>
      <c r="I372" s="84"/>
      <c r="J372" s="84"/>
      <c r="K372" s="198"/>
      <c r="L372" s="84">
        <f>L373</f>
        <v>9990</v>
      </c>
      <c r="M372" s="84">
        <f>M373</f>
        <v>9990</v>
      </c>
      <c r="N372" s="201">
        <f t="shared" si="88"/>
        <v>100</v>
      </c>
      <c r="O372" s="84">
        <f t="shared" ref="O372:P376" si="90">I372+L372</f>
        <v>9990</v>
      </c>
      <c r="P372" s="84">
        <f t="shared" si="90"/>
        <v>9990</v>
      </c>
      <c r="Q372" s="203">
        <f t="shared" si="89"/>
        <v>100</v>
      </c>
    </row>
    <row r="373" spans="2:17" x14ac:dyDescent="0.2">
      <c r="B373" s="72">
        <f t="shared" si="87"/>
        <v>365</v>
      </c>
      <c r="C373" s="12"/>
      <c r="D373" s="12"/>
      <c r="E373" s="12"/>
      <c r="F373" s="53"/>
      <c r="G373" s="4"/>
      <c r="H373" s="4" t="s">
        <v>742</v>
      </c>
      <c r="I373" s="23"/>
      <c r="J373" s="23"/>
      <c r="K373" s="198"/>
      <c r="L373" s="58">
        <v>9990</v>
      </c>
      <c r="M373" s="58">
        <v>9990</v>
      </c>
      <c r="N373" s="201">
        <f t="shared" si="88"/>
        <v>100</v>
      </c>
      <c r="O373" s="23">
        <f t="shared" si="90"/>
        <v>9990</v>
      </c>
      <c r="P373" s="23">
        <f t="shared" si="90"/>
        <v>9990</v>
      </c>
      <c r="Q373" s="203">
        <f t="shared" si="89"/>
        <v>100</v>
      </c>
    </row>
    <row r="374" spans="2:17" x14ac:dyDescent="0.2">
      <c r="B374" s="72">
        <f t="shared" si="87"/>
        <v>366</v>
      </c>
      <c r="C374" s="12"/>
      <c r="D374" s="12"/>
      <c r="E374" s="12"/>
      <c r="F374" s="82" t="s">
        <v>125</v>
      </c>
      <c r="G374" s="83">
        <v>716</v>
      </c>
      <c r="H374" s="83" t="s">
        <v>0</v>
      </c>
      <c r="I374" s="84"/>
      <c r="J374" s="84"/>
      <c r="K374" s="198"/>
      <c r="L374" s="84">
        <f>L375+L376</f>
        <v>7600</v>
      </c>
      <c r="M374" s="84">
        <f>M375+M376</f>
        <v>6880</v>
      </c>
      <c r="N374" s="201">
        <f t="shared" si="88"/>
        <v>90.526315789473685</v>
      </c>
      <c r="O374" s="84">
        <f t="shared" si="90"/>
        <v>7600</v>
      </c>
      <c r="P374" s="84">
        <f t="shared" si="90"/>
        <v>6880</v>
      </c>
      <c r="Q374" s="203">
        <f t="shared" si="89"/>
        <v>90.526315789473685</v>
      </c>
    </row>
    <row r="375" spans="2:17" x14ac:dyDescent="0.2">
      <c r="B375" s="72">
        <f t="shared" si="87"/>
        <v>367</v>
      </c>
      <c r="C375" s="12"/>
      <c r="D375" s="12"/>
      <c r="E375" s="12"/>
      <c r="F375" s="53"/>
      <c r="G375" s="4"/>
      <c r="H375" s="4" t="s">
        <v>578</v>
      </c>
      <c r="I375" s="23"/>
      <c r="J375" s="23"/>
      <c r="K375" s="198"/>
      <c r="L375" s="23">
        <v>6600</v>
      </c>
      <c r="M375" s="23">
        <v>5880</v>
      </c>
      <c r="N375" s="201">
        <f t="shared" si="88"/>
        <v>89.090909090909093</v>
      </c>
      <c r="O375" s="23">
        <f t="shared" si="90"/>
        <v>6600</v>
      </c>
      <c r="P375" s="23">
        <f t="shared" si="90"/>
        <v>5880</v>
      </c>
      <c r="Q375" s="203">
        <f t="shared" si="89"/>
        <v>89.090909090909093</v>
      </c>
    </row>
    <row r="376" spans="2:17" x14ac:dyDescent="0.2">
      <c r="B376" s="72">
        <f t="shared" si="87"/>
        <v>368</v>
      </c>
      <c r="C376" s="12"/>
      <c r="D376" s="12"/>
      <c r="E376" s="12"/>
      <c r="F376" s="53"/>
      <c r="G376" s="4"/>
      <c r="H376" s="4" t="s">
        <v>645</v>
      </c>
      <c r="I376" s="23"/>
      <c r="J376" s="23"/>
      <c r="K376" s="198"/>
      <c r="L376" s="23">
        <v>1000</v>
      </c>
      <c r="M376" s="23">
        <v>1000</v>
      </c>
      <c r="N376" s="201">
        <f t="shared" si="88"/>
        <v>100</v>
      </c>
      <c r="O376" s="23">
        <f t="shared" si="90"/>
        <v>1000</v>
      </c>
      <c r="P376" s="23">
        <f t="shared" si="90"/>
        <v>1000</v>
      </c>
      <c r="Q376" s="203">
        <f t="shared" si="89"/>
        <v>100</v>
      </c>
    </row>
    <row r="377" spans="2:17" x14ac:dyDescent="0.2">
      <c r="B377" s="72">
        <f t="shared" si="87"/>
        <v>369</v>
      </c>
      <c r="C377" s="4"/>
      <c r="D377" s="4"/>
      <c r="E377" s="4"/>
      <c r="F377" s="82" t="s">
        <v>125</v>
      </c>
      <c r="G377" s="83">
        <v>717</v>
      </c>
      <c r="H377" s="83" t="s">
        <v>193</v>
      </c>
      <c r="I377" s="84"/>
      <c r="J377" s="84"/>
      <c r="K377" s="198"/>
      <c r="L377" s="84">
        <f>SUM(L378:L380)</f>
        <v>103070</v>
      </c>
      <c r="M377" s="84">
        <f>SUM(M378:M380)</f>
        <v>85500</v>
      </c>
      <c r="N377" s="201">
        <f t="shared" si="88"/>
        <v>82.953332686523723</v>
      </c>
      <c r="O377" s="84">
        <f>L377+I377</f>
        <v>103070</v>
      </c>
      <c r="P377" s="84">
        <f>M377+J377</f>
        <v>85500</v>
      </c>
      <c r="Q377" s="203">
        <f t="shared" si="89"/>
        <v>82.953332686523723</v>
      </c>
    </row>
    <row r="378" spans="2:17" x14ac:dyDescent="0.2">
      <c r="B378" s="72">
        <f t="shared" si="87"/>
        <v>370</v>
      </c>
      <c r="C378" s="4"/>
      <c r="D378" s="4"/>
      <c r="E378" s="4"/>
      <c r="F378" s="64"/>
      <c r="G378" s="60"/>
      <c r="H378" s="60" t="s">
        <v>490</v>
      </c>
      <c r="I378" s="58"/>
      <c r="J378" s="58"/>
      <c r="K378" s="198"/>
      <c r="L378" s="58">
        <f>70000-6600-63400</f>
        <v>0</v>
      </c>
      <c r="M378" s="58"/>
      <c r="N378" s="201"/>
      <c r="O378" s="23">
        <f>L378+I378</f>
        <v>0</v>
      </c>
      <c r="P378" s="23">
        <f>M378+J378</f>
        <v>0</v>
      </c>
      <c r="Q378" s="203"/>
    </row>
    <row r="379" spans="2:17" x14ac:dyDescent="0.2">
      <c r="B379" s="72">
        <f t="shared" si="87"/>
        <v>371</v>
      </c>
      <c r="C379" s="4"/>
      <c r="D379" s="4"/>
      <c r="E379" s="4"/>
      <c r="F379" s="64"/>
      <c r="G379" s="60"/>
      <c r="H379" s="60" t="s">
        <v>743</v>
      </c>
      <c r="I379" s="58"/>
      <c r="J379" s="58"/>
      <c r="K379" s="198"/>
      <c r="L379" s="58">
        <v>63400</v>
      </c>
      <c r="M379" s="58">
        <v>48000</v>
      </c>
      <c r="N379" s="201">
        <f t="shared" si="88"/>
        <v>75.709779179810724</v>
      </c>
      <c r="O379" s="23"/>
      <c r="P379" s="23"/>
      <c r="Q379" s="203"/>
    </row>
    <row r="380" spans="2:17" x14ac:dyDescent="0.2">
      <c r="B380" s="72">
        <f t="shared" si="87"/>
        <v>372</v>
      </c>
      <c r="C380" s="4"/>
      <c r="D380" s="4"/>
      <c r="E380" s="4"/>
      <c r="F380" s="64"/>
      <c r="G380" s="60"/>
      <c r="H380" s="60" t="s">
        <v>491</v>
      </c>
      <c r="I380" s="58"/>
      <c r="J380" s="58"/>
      <c r="K380" s="198"/>
      <c r="L380" s="58">
        <f>13000-1000+28520-850</f>
        <v>39670</v>
      </c>
      <c r="M380" s="58">
        <v>37500</v>
      </c>
      <c r="N380" s="201">
        <f t="shared" si="88"/>
        <v>94.529871439374844</v>
      </c>
      <c r="O380" s="23">
        <f t="shared" ref="O380:O400" si="91">L380+I380</f>
        <v>39670</v>
      </c>
      <c r="P380" s="23">
        <f t="shared" ref="P380:P400" si="92">M380+J380</f>
        <v>37500</v>
      </c>
      <c r="Q380" s="203">
        <f t="shared" ref="Q380:Q387" si="93">P380/O380*100</f>
        <v>94.529871439374844</v>
      </c>
    </row>
    <row r="381" spans="2:17" ht="15" x14ac:dyDescent="0.25">
      <c r="B381" s="72">
        <f t="shared" si="87"/>
        <v>373</v>
      </c>
      <c r="C381" s="15"/>
      <c r="D381" s="15"/>
      <c r="E381" s="15">
        <v>11</v>
      </c>
      <c r="F381" s="50"/>
      <c r="G381" s="15"/>
      <c r="H381" s="15" t="s">
        <v>272</v>
      </c>
      <c r="I381" s="47">
        <f>I382+I383+I384+I390+I391+I392+I393+I399+I402+I400</f>
        <v>1239819</v>
      </c>
      <c r="J381" s="47">
        <f>J382+J383+J384+J390+J391+J392+J393+J399+J400+J402</f>
        <v>1229589</v>
      </c>
      <c r="K381" s="198">
        <f t="shared" ref="K381:K387" si="94">J381/I381*100</f>
        <v>99.174879559032405</v>
      </c>
      <c r="L381" s="47">
        <f>L382+L383+L384+L390+L391+L392+L393+L399+L407+L405</f>
        <v>84000</v>
      </c>
      <c r="M381" s="47">
        <f>M382+M383+M384+M390+M391+M392+M393+M399+M407+M405</f>
        <v>51556</v>
      </c>
      <c r="N381" s="201">
        <f t="shared" si="88"/>
        <v>61.376190476190473</v>
      </c>
      <c r="O381" s="47">
        <f t="shared" si="91"/>
        <v>1323819</v>
      </c>
      <c r="P381" s="47">
        <f t="shared" si="92"/>
        <v>1281145</v>
      </c>
      <c r="Q381" s="203">
        <f t="shared" si="93"/>
        <v>96.776447535501447</v>
      </c>
    </row>
    <row r="382" spans="2:17" x14ac:dyDescent="0.2">
      <c r="B382" s="72">
        <f t="shared" si="87"/>
        <v>374</v>
      </c>
      <c r="C382" s="12"/>
      <c r="D382" s="12"/>
      <c r="E382" s="12"/>
      <c r="F382" s="52" t="s">
        <v>125</v>
      </c>
      <c r="G382" s="12">
        <v>610</v>
      </c>
      <c r="H382" s="12" t="s">
        <v>135</v>
      </c>
      <c r="I382" s="49">
        <f>258332-13523</f>
        <v>244809</v>
      </c>
      <c r="J382" s="49">
        <v>244809</v>
      </c>
      <c r="K382" s="198">
        <f t="shared" si="94"/>
        <v>100</v>
      </c>
      <c r="L382" s="49"/>
      <c r="M382" s="49"/>
      <c r="N382" s="201"/>
      <c r="O382" s="49">
        <f t="shared" si="91"/>
        <v>244809</v>
      </c>
      <c r="P382" s="49">
        <f t="shared" si="92"/>
        <v>244809</v>
      </c>
      <c r="Q382" s="203">
        <f t="shared" si="93"/>
        <v>100</v>
      </c>
    </row>
    <row r="383" spans="2:17" x14ac:dyDescent="0.2">
      <c r="B383" s="72">
        <f t="shared" si="87"/>
        <v>375</v>
      </c>
      <c r="C383" s="12"/>
      <c r="D383" s="12"/>
      <c r="E383" s="12"/>
      <c r="F383" s="52" t="s">
        <v>125</v>
      </c>
      <c r="G383" s="12">
        <v>620</v>
      </c>
      <c r="H383" s="12" t="s">
        <v>130</v>
      </c>
      <c r="I383" s="49">
        <f>90407-4727-1088</f>
        <v>84592</v>
      </c>
      <c r="J383" s="49">
        <v>84593</v>
      </c>
      <c r="K383" s="198">
        <f t="shared" si="94"/>
        <v>100.00118214488367</v>
      </c>
      <c r="L383" s="49"/>
      <c r="M383" s="49"/>
      <c r="N383" s="201"/>
      <c r="O383" s="49">
        <f t="shared" si="91"/>
        <v>84592</v>
      </c>
      <c r="P383" s="49">
        <f t="shared" si="92"/>
        <v>84593</v>
      </c>
      <c r="Q383" s="203">
        <f t="shared" si="93"/>
        <v>100.00118214488367</v>
      </c>
    </row>
    <row r="384" spans="2:17" x14ac:dyDescent="0.2">
      <c r="B384" s="72">
        <f t="shared" si="87"/>
        <v>376</v>
      </c>
      <c r="C384" s="12"/>
      <c r="D384" s="12"/>
      <c r="E384" s="12"/>
      <c r="F384" s="52" t="s">
        <v>125</v>
      </c>
      <c r="G384" s="12">
        <v>630</v>
      </c>
      <c r="H384" s="12" t="s">
        <v>127</v>
      </c>
      <c r="I384" s="49">
        <f>I389+I388+I387+I386+I385</f>
        <v>79698</v>
      </c>
      <c r="J384" s="49">
        <f>J389+J388+J387+J386+J385</f>
        <v>74978</v>
      </c>
      <c r="K384" s="198">
        <f t="shared" si="94"/>
        <v>94.077643102712742</v>
      </c>
      <c r="L384" s="49">
        <v>0</v>
      </c>
      <c r="M384" s="49"/>
      <c r="N384" s="201"/>
      <c r="O384" s="49">
        <f t="shared" si="91"/>
        <v>79698</v>
      </c>
      <c r="P384" s="49">
        <f t="shared" si="92"/>
        <v>74978</v>
      </c>
      <c r="Q384" s="203">
        <f t="shared" si="93"/>
        <v>94.077643102712742</v>
      </c>
    </row>
    <row r="385" spans="2:17" x14ac:dyDescent="0.2">
      <c r="B385" s="72">
        <f t="shared" si="87"/>
        <v>377</v>
      </c>
      <c r="C385" s="4"/>
      <c r="D385" s="4"/>
      <c r="E385" s="4"/>
      <c r="F385" s="53" t="s">
        <v>125</v>
      </c>
      <c r="G385" s="4">
        <v>631</v>
      </c>
      <c r="H385" s="4" t="s">
        <v>133</v>
      </c>
      <c r="I385" s="23">
        <f>16+2</f>
        <v>18</v>
      </c>
      <c r="J385" s="23">
        <v>18</v>
      </c>
      <c r="K385" s="198">
        <f t="shared" si="94"/>
        <v>100</v>
      </c>
      <c r="L385" s="23"/>
      <c r="M385" s="23"/>
      <c r="N385" s="201"/>
      <c r="O385" s="23">
        <f t="shared" si="91"/>
        <v>18</v>
      </c>
      <c r="P385" s="23">
        <f t="shared" si="92"/>
        <v>18</v>
      </c>
      <c r="Q385" s="203">
        <f t="shared" si="93"/>
        <v>100</v>
      </c>
    </row>
    <row r="386" spans="2:17" x14ac:dyDescent="0.2">
      <c r="B386" s="72">
        <f t="shared" si="87"/>
        <v>378</v>
      </c>
      <c r="C386" s="4"/>
      <c r="D386" s="4"/>
      <c r="E386" s="4"/>
      <c r="F386" s="53" t="s">
        <v>125</v>
      </c>
      <c r="G386" s="4">
        <v>632</v>
      </c>
      <c r="H386" s="4" t="s">
        <v>138</v>
      </c>
      <c r="I386" s="23">
        <f>44888-5040-1688</f>
        <v>38160</v>
      </c>
      <c r="J386" s="23">
        <v>36091</v>
      </c>
      <c r="K386" s="198">
        <f t="shared" si="94"/>
        <v>94.578092243186589</v>
      </c>
      <c r="L386" s="23"/>
      <c r="M386" s="23"/>
      <c r="N386" s="201"/>
      <c r="O386" s="23">
        <f t="shared" si="91"/>
        <v>38160</v>
      </c>
      <c r="P386" s="23">
        <f t="shared" si="92"/>
        <v>36091</v>
      </c>
      <c r="Q386" s="203">
        <f t="shared" si="93"/>
        <v>94.578092243186589</v>
      </c>
    </row>
    <row r="387" spans="2:17" x14ac:dyDescent="0.2">
      <c r="B387" s="72">
        <f t="shared" si="87"/>
        <v>379</v>
      </c>
      <c r="C387" s="4"/>
      <c r="D387" s="4"/>
      <c r="E387" s="4"/>
      <c r="F387" s="53" t="s">
        <v>125</v>
      </c>
      <c r="G387" s="4">
        <v>633</v>
      </c>
      <c r="H387" s="4" t="s">
        <v>131</v>
      </c>
      <c r="I387" s="23">
        <f>11589+6747-223</f>
        <v>18113</v>
      </c>
      <c r="J387" s="23">
        <v>15462</v>
      </c>
      <c r="K387" s="198">
        <f t="shared" si="94"/>
        <v>85.364103130348369</v>
      </c>
      <c r="L387" s="23"/>
      <c r="M387" s="23"/>
      <c r="N387" s="201"/>
      <c r="O387" s="23">
        <f t="shared" si="91"/>
        <v>18113</v>
      </c>
      <c r="P387" s="23">
        <f t="shared" si="92"/>
        <v>15462</v>
      </c>
      <c r="Q387" s="203">
        <f t="shared" si="93"/>
        <v>85.364103130348369</v>
      </c>
    </row>
    <row r="388" spans="2:17" x14ac:dyDescent="0.2">
      <c r="B388" s="72">
        <f t="shared" si="87"/>
        <v>380</v>
      </c>
      <c r="C388" s="4"/>
      <c r="D388" s="4"/>
      <c r="E388" s="4"/>
      <c r="F388" s="53" t="s">
        <v>125</v>
      </c>
      <c r="G388" s="4">
        <v>635</v>
      </c>
      <c r="H388" s="4" t="s">
        <v>137</v>
      </c>
      <c r="I388" s="23">
        <f>5953+2855+986</f>
        <v>9794</v>
      </c>
      <c r="J388" s="23">
        <v>9794</v>
      </c>
      <c r="K388" s="198">
        <f t="shared" ref="K388:K396" si="95">J388/I388*100</f>
        <v>100</v>
      </c>
      <c r="L388" s="23"/>
      <c r="M388" s="23"/>
      <c r="N388" s="201"/>
      <c r="O388" s="23">
        <f t="shared" si="91"/>
        <v>9794</v>
      </c>
      <c r="P388" s="23">
        <f t="shared" si="92"/>
        <v>9794</v>
      </c>
      <c r="Q388" s="203">
        <f t="shared" ref="Q388:Q396" si="96">P388/O388*100</f>
        <v>100</v>
      </c>
    </row>
    <row r="389" spans="2:17" x14ac:dyDescent="0.2">
      <c r="B389" s="72">
        <f t="shared" si="87"/>
        <v>381</v>
      </c>
      <c r="C389" s="4"/>
      <c r="D389" s="4"/>
      <c r="E389" s="4"/>
      <c r="F389" s="53" t="s">
        <v>125</v>
      </c>
      <c r="G389" s="4">
        <v>637</v>
      </c>
      <c r="H389" s="4" t="s">
        <v>128</v>
      </c>
      <c r="I389" s="23">
        <f>8654+4721+238</f>
        <v>13613</v>
      </c>
      <c r="J389" s="23">
        <v>13613</v>
      </c>
      <c r="K389" s="198">
        <f t="shared" si="95"/>
        <v>100</v>
      </c>
      <c r="L389" s="23"/>
      <c r="M389" s="23"/>
      <c r="N389" s="201"/>
      <c r="O389" s="23">
        <f t="shared" si="91"/>
        <v>13613</v>
      </c>
      <c r="P389" s="23">
        <f t="shared" si="92"/>
        <v>13613</v>
      </c>
      <c r="Q389" s="203">
        <f t="shared" si="96"/>
        <v>100</v>
      </c>
    </row>
    <row r="390" spans="2:17" x14ac:dyDescent="0.2">
      <c r="B390" s="72">
        <f t="shared" si="87"/>
        <v>382</v>
      </c>
      <c r="C390" s="12"/>
      <c r="D390" s="12"/>
      <c r="E390" s="12"/>
      <c r="F390" s="52" t="s">
        <v>125</v>
      </c>
      <c r="G390" s="12">
        <v>640</v>
      </c>
      <c r="H390" s="12" t="s">
        <v>134</v>
      </c>
      <c r="I390" s="49">
        <f>3682-2247+62</f>
        <v>1497</v>
      </c>
      <c r="J390" s="49">
        <v>1497</v>
      </c>
      <c r="K390" s="198">
        <f t="shared" si="95"/>
        <v>100</v>
      </c>
      <c r="L390" s="49"/>
      <c r="M390" s="49"/>
      <c r="N390" s="201"/>
      <c r="O390" s="49">
        <f t="shared" si="91"/>
        <v>1497</v>
      </c>
      <c r="P390" s="49">
        <f t="shared" si="92"/>
        <v>1497</v>
      </c>
      <c r="Q390" s="203">
        <f t="shared" si="96"/>
        <v>100</v>
      </c>
    </row>
    <row r="391" spans="2:17" x14ac:dyDescent="0.2">
      <c r="B391" s="72">
        <f t="shared" si="87"/>
        <v>383</v>
      </c>
      <c r="C391" s="12"/>
      <c r="D391" s="12"/>
      <c r="E391" s="12"/>
      <c r="F391" s="52" t="s">
        <v>269</v>
      </c>
      <c r="G391" s="12">
        <v>610</v>
      </c>
      <c r="H391" s="12" t="s">
        <v>135</v>
      </c>
      <c r="I391" s="49">
        <f>409993+50243</f>
        <v>460236</v>
      </c>
      <c r="J391" s="49">
        <v>460234</v>
      </c>
      <c r="K391" s="198">
        <f t="shared" si="95"/>
        <v>99.999565440339296</v>
      </c>
      <c r="L391" s="49"/>
      <c r="M391" s="49"/>
      <c r="N391" s="201"/>
      <c r="O391" s="49">
        <f t="shared" si="91"/>
        <v>460236</v>
      </c>
      <c r="P391" s="49">
        <f t="shared" si="92"/>
        <v>460234</v>
      </c>
      <c r="Q391" s="203">
        <f t="shared" si="96"/>
        <v>99.999565440339296</v>
      </c>
    </row>
    <row r="392" spans="2:17" x14ac:dyDescent="0.2">
      <c r="B392" s="72">
        <f t="shared" si="87"/>
        <v>384</v>
      </c>
      <c r="C392" s="12"/>
      <c r="D392" s="12"/>
      <c r="E392" s="12"/>
      <c r="F392" s="52" t="s">
        <v>269</v>
      </c>
      <c r="G392" s="12">
        <v>620</v>
      </c>
      <c r="H392" s="12" t="s">
        <v>130</v>
      </c>
      <c r="I392" s="49">
        <f>143470+18526</f>
        <v>161996</v>
      </c>
      <c r="J392" s="49">
        <v>161997</v>
      </c>
      <c r="K392" s="198">
        <f t="shared" si="95"/>
        <v>100.00061729919256</v>
      </c>
      <c r="L392" s="49"/>
      <c r="M392" s="49"/>
      <c r="N392" s="201"/>
      <c r="O392" s="49">
        <f t="shared" si="91"/>
        <v>161996</v>
      </c>
      <c r="P392" s="49">
        <f t="shared" si="92"/>
        <v>161997</v>
      </c>
      <c r="Q392" s="203">
        <f t="shared" si="96"/>
        <v>100.00061729919256</v>
      </c>
    </row>
    <row r="393" spans="2:17" x14ac:dyDescent="0.2">
      <c r="B393" s="72">
        <f t="shared" si="87"/>
        <v>385</v>
      </c>
      <c r="C393" s="12"/>
      <c r="D393" s="12"/>
      <c r="E393" s="12"/>
      <c r="F393" s="52" t="s">
        <v>269</v>
      </c>
      <c r="G393" s="12">
        <v>630</v>
      </c>
      <c r="H393" s="12" t="s">
        <v>127</v>
      </c>
      <c r="I393" s="49">
        <f>I398+I397+I396+I395+I394</f>
        <v>186143</v>
      </c>
      <c r="J393" s="49">
        <f>J398+J397+J396+J395+J394</f>
        <v>180634</v>
      </c>
      <c r="K393" s="198">
        <f t="shared" si="95"/>
        <v>97.040447397968236</v>
      </c>
      <c r="L393" s="49">
        <f>L398+L397+L396+L395+L394</f>
        <v>0</v>
      </c>
      <c r="M393" s="49">
        <f>M398+M397+M396+M395+M394</f>
        <v>0</v>
      </c>
      <c r="N393" s="201"/>
      <c r="O393" s="49">
        <f t="shared" si="91"/>
        <v>186143</v>
      </c>
      <c r="P393" s="49">
        <f t="shared" si="92"/>
        <v>180634</v>
      </c>
      <c r="Q393" s="203">
        <f t="shared" si="96"/>
        <v>97.040447397968236</v>
      </c>
    </row>
    <row r="394" spans="2:17" x14ac:dyDescent="0.2">
      <c r="B394" s="72">
        <f t="shared" si="87"/>
        <v>386</v>
      </c>
      <c r="C394" s="4"/>
      <c r="D394" s="4"/>
      <c r="E394" s="4"/>
      <c r="F394" s="53" t="s">
        <v>269</v>
      </c>
      <c r="G394" s="4">
        <v>631</v>
      </c>
      <c r="H394" s="4" t="s">
        <v>133</v>
      </c>
      <c r="I394" s="23">
        <f>24+4</f>
        <v>28</v>
      </c>
      <c r="J394" s="23">
        <v>28</v>
      </c>
      <c r="K394" s="198">
        <f t="shared" si="95"/>
        <v>100</v>
      </c>
      <c r="L394" s="23"/>
      <c r="M394" s="23"/>
      <c r="N394" s="201"/>
      <c r="O394" s="23">
        <f t="shared" si="91"/>
        <v>28</v>
      </c>
      <c r="P394" s="23">
        <f t="shared" si="92"/>
        <v>28</v>
      </c>
      <c r="Q394" s="203">
        <f t="shared" si="96"/>
        <v>100</v>
      </c>
    </row>
    <row r="395" spans="2:17" x14ac:dyDescent="0.2">
      <c r="B395" s="72">
        <f t="shared" si="87"/>
        <v>387</v>
      </c>
      <c r="C395" s="4"/>
      <c r="D395" s="4"/>
      <c r="E395" s="4"/>
      <c r="F395" s="53" t="s">
        <v>269</v>
      </c>
      <c r="G395" s="4">
        <v>632</v>
      </c>
      <c r="H395" s="4" t="s">
        <v>138</v>
      </c>
      <c r="I395" s="23">
        <f>123407-44157-613</f>
        <v>78637</v>
      </c>
      <c r="J395" s="23">
        <v>73131</v>
      </c>
      <c r="K395" s="198">
        <f t="shared" si="95"/>
        <v>92.998206950926416</v>
      </c>
      <c r="L395" s="23"/>
      <c r="M395" s="23"/>
      <c r="N395" s="201"/>
      <c r="O395" s="23">
        <f t="shared" si="91"/>
        <v>78637</v>
      </c>
      <c r="P395" s="23">
        <f t="shared" si="92"/>
        <v>73131</v>
      </c>
      <c r="Q395" s="203">
        <f t="shared" si="96"/>
        <v>92.998206950926416</v>
      </c>
    </row>
    <row r="396" spans="2:17" x14ac:dyDescent="0.2">
      <c r="B396" s="72">
        <f t="shared" si="87"/>
        <v>388</v>
      </c>
      <c r="C396" s="4"/>
      <c r="D396" s="4"/>
      <c r="E396" s="4"/>
      <c r="F396" s="53" t="s">
        <v>269</v>
      </c>
      <c r="G396" s="4">
        <v>633</v>
      </c>
      <c r="H396" s="4" t="s">
        <v>131</v>
      </c>
      <c r="I396" s="23">
        <f>28935+19846+328</f>
        <v>49109</v>
      </c>
      <c r="J396" s="23">
        <v>49107</v>
      </c>
      <c r="K396" s="198">
        <f t="shared" si="95"/>
        <v>99.995927426744586</v>
      </c>
      <c r="L396" s="23"/>
      <c r="M396" s="23"/>
      <c r="N396" s="201"/>
      <c r="O396" s="23">
        <f t="shared" si="91"/>
        <v>49109</v>
      </c>
      <c r="P396" s="23">
        <f t="shared" si="92"/>
        <v>49107</v>
      </c>
      <c r="Q396" s="203">
        <f t="shared" si="96"/>
        <v>99.995927426744586</v>
      </c>
    </row>
    <row r="397" spans="2:17" x14ac:dyDescent="0.2">
      <c r="B397" s="72">
        <f t="shared" si="87"/>
        <v>389</v>
      </c>
      <c r="C397" s="4"/>
      <c r="D397" s="4"/>
      <c r="E397" s="4"/>
      <c r="F397" s="53" t="s">
        <v>269</v>
      </c>
      <c r="G397" s="4">
        <v>635</v>
      </c>
      <c r="H397" s="4" t="s">
        <v>137</v>
      </c>
      <c r="I397" s="23">
        <f>11128+8172+1507</f>
        <v>20807</v>
      </c>
      <c r="J397" s="23">
        <v>20807</v>
      </c>
      <c r="K397" s="198">
        <f>J397/I397*100</f>
        <v>100</v>
      </c>
      <c r="L397" s="23"/>
      <c r="M397" s="23"/>
      <c r="N397" s="201"/>
      <c r="O397" s="23">
        <f t="shared" si="91"/>
        <v>20807</v>
      </c>
      <c r="P397" s="23">
        <f t="shared" si="92"/>
        <v>20807</v>
      </c>
      <c r="Q397" s="203">
        <f>P397/O397*100</f>
        <v>100</v>
      </c>
    </row>
    <row r="398" spans="2:17" x14ac:dyDescent="0.2">
      <c r="B398" s="72">
        <f t="shared" si="87"/>
        <v>390</v>
      </c>
      <c r="C398" s="4"/>
      <c r="D398" s="4"/>
      <c r="E398" s="4"/>
      <c r="F398" s="53" t="s">
        <v>269</v>
      </c>
      <c r="G398" s="4">
        <v>637</v>
      </c>
      <c r="H398" s="4" t="s">
        <v>128</v>
      </c>
      <c r="I398" s="23">
        <f>29925+8250-1108+495</f>
        <v>37562</v>
      </c>
      <c r="J398" s="23">
        <v>37561</v>
      </c>
      <c r="K398" s="198">
        <f>J398/I398*100</f>
        <v>99.997337734944892</v>
      </c>
      <c r="L398" s="23"/>
      <c r="M398" s="23"/>
      <c r="N398" s="201"/>
      <c r="O398" s="23">
        <f t="shared" si="91"/>
        <v>37562</v>
      </c>
      <c r="P398" s="23">
        <f t="shared" si="92"/>
        <v>37561</v>
      </c>
      <c r="Q398" s="203">
        <f>P398/O398*100</f>
        <v>99.997337734944892</v>
      </c>
    </row>
    <row r="399" spans="2:17" x14ac:dyDescent="0.2">
      <c r="B399" s="72">
        <f t="shared" si="87"/>
        <v>391</v>
      </c>
      <c r="C399" s="12"/>
      <c r="D399" s="12"/>
      <c r="E399" s="12"/>
      <c r="F399" s="52" t="s">
        <v>269</v>
      </c>
      <c r="G399" s="12">
        <v>640</v>
      </c>
      <c r="H399" s="12" t="s">
        <v>134</v>
      </c>
      <c r="I399" s="49">
        <f>5523-4258-10</f>
        <v>1255</v>
      </c>
      <c r="J399" s="49">
        <v>1255</v>
      </c>
      <c r="K399" s="198">
        <f>J399/I399*100</f>
        <v>100</v>
      </c>
      <c r="L399" s="49"/>
      <c r="M399" s="49"/>
      <c r="N399" s="201"/>
      <c r="O399" s="49">
        <f t="shared" si="91"/>
        <v>1255</v>
      </c>
      <c r="P399" s="49">
        <f t="shared" si="92"/>
        <v>1255</v>
      </c>
      <c r="Q399" s="203">
        <f>P399/O399*100</f>
        <v>100</v>
      </c>
    </row>
    <row r="400" spans="2:17" x14ac:dyDescent="0.2">
      <c r="B400" s="72">
        <f t="shared" si="87"/>
        <v>392</v>
      </c>
      <c r="C400" s="12"/>
      <c r="D400" s="12"/>
      <c r="E400" s="12"/>
      <c r="F400" s="52" t="s">
        <v>75</v>
      </c>
      <c r="G400" s="12">
        <v>630</v>
      </c>
      <c r="H400" s="12" t="s">
        <v>643</v>
      </c>
      <c r="I400" s="49">
        <f>428+515+150</f>
        <v>1093</v>
      </c>
      <c r="J400" s="49">
        <v>1092</v>
      </c>
      <c r="K400" s="198">
        <f>J400/I400*100</f>
        <v>99.908508691674285</v>
      </c>
      <c r="L400" s="49"/>
      <c r="M400" s="49"/>
      <c r="N400" s="201"/>
      <c r="O400" s="49">
        <f t="shared" si="91"/>
        <v>1093</v>
      </c>
      <c r="P400" s="49">
        <f t="shared" si="92"/>
        <v>1092</v>
      </c>
      <c r="Q400" s="203">
        <f>P400/O400*100</f>
        <v>99.908508691674285</v>
      </c>
    </row>
    <row r="401" spans="2:17" x14ac:dyDescent="0.2">
      <c r="B401" s="72">
        <f t="shared" si="87"/>
        <v>393</v>
      </c>
      <c r="C401" s="12"/>
      <c r="D401" s="12"/>
      <c r="E401" s="12"/>
      <c r="F401" s="52"/>
      <c r="G401" s="12"/>
      <c r="H401" s="12"/>
      <c r="I401" s="49"/>
      <c r="J401" s="49"/>
      <c r="K401" s="198"/>
      <c r="L401" s="49"/>
      <c r="M401" s="49"/>
      <c r="N401" s="201"/>
      <c r="O401" s="49"/>
      <c r="P401" s="49"/>
      <c r="Q401" s="203"/>
    </row>
    <row r="402" spans="2:17" x14ac:dyDescent="0.2">
      <c r="B402" s="72">
        <f t="shared" si="87"/>
        <v>394</v>
      </c>
      <c r="C402" s="12"/>
      <c r="D402" s="12"/>
      <c r="E402" s="12"/>
      <c r="F402" s="52"/>
      <c r="G402" s="12">
        <v>630</v>
      </c>
      <c r="H402" s="12" t="s">
        <v>596</v>
      </c>
      <c r="I402" s="49">
        <v>18500</v>
      </c>
      <c r="J402" s="49">
        <v>18500</v>
      </c>
      <c r="K402" s="198">
        <f>J402/I402*100</f>
        <v>100</v>
      </c>
      <c r="L402" s="49"/>
      <c r="M402" s="49"/>
      <c r="N402" s="201"/>
      <c r="O402" s="49">
        <f>L402+I402</f>
        <v>18500</v>
      </c>
      <c r="P402" s="49">
        <f>M402+J402</f>
        <v>18500</v>
      </c>
      <c r="Q402" s="203">
        <f>P402/O402*100</f>
        <v>100</v>
      </c>
    </row>
    <row r="403" spans="2:17" x14ac:dyDescent="0.2">
      <c r="B403" s="72">
        <f t="shared" si="87"/>
        <v>395</v>
      </c>
      <c r="C403" s="12"/>
      <c r="D403" s="12"/>
      <c r="E403" s="12"/>
      <c r="F403" s="52"/>
      <c r="G403" s="12"/>
      <c r="H403" s="12"/>
      <c r="I403" s="49"/>
      <c r="J403" s="49"/>
      <c r="K403" s="198"/>
      <c r="L403" s="49"/>
      <c r="M403" s="49"/>
      <c r="N403" s="201"/>
      <c r="O403" s="49"/>
      <c r="P403" s="49"/>
      <c r="Q403" s="203"/>
    </row>
    <row r="404" spans="2:17" x14ac:dyDescent="0.2">
      <c r="B404" s="72">
        <f t="shared" si="87"/>
        <v>396</v>
      </c>
      <c r="C404" s="12"/>
      <c r="D404" s="12"/>
      <c r="E404" s="12"/>
      <c r="F404" s="52" t="s">
        <v>125</v>
      </c>
      <c r="G404" s="12">
        <v>710</v>
      </c>
      <c r="H404" s="12" t="s">
        <v>183</v>
      </c>
      <c r="I404" s="49">
        <f>I408</f>
        <v>0</v>
      </c>
      <c r="J404" s="49">
        <f>J408</f>
        <v>0</v>
      </c>
      <c r="K404" s="198"/>
      <c r="L404" s="49">
        <f>L405+L407</f>
        <v>84000</v>
      </c>
      <c r="M404" s="49">
        <f>M405+M407</f>
        <v>51556</v>
      </c>
      <c r="N404" s="201">
        <f t="shared" ref="N404:N409" si="97">M404/L404*100</f>
        <v>61.376190476190473</v>
      </c>
      <c r="O404" s="49">
        <f>L404+I404</f>
        <v>84000</v>
      </c>
      <c r="P404" s="49">
        <f>M404+J404</f>
        <v>51556</v>
      </c>
      <c r="Q404" s="203">
        <f t="shared" ref="Q404:Q427" si="98">P404/O404*100</f>
        <v>61.376190476190473</v>
      </c>
    </row>
    <row r="405" spans="2:17" x14ac:dyDescent="0.2">
      <c r="B405" s="72">
        <f t="shared" si="87"/>
        <v>397</v>
      </c>
      <c r="C405" s="12"/>
      <c r="D405" s="12"/>
      <c r="E405" s="12"/>
      <c r="F405" s="82" t="s">
        <v>125</v>
      </c>
      <c r="G405" s="83">
        <v>716</v>
      </c>
      <c r="H405" s="83" t="s">
        <v>0</v>
      </c>
      <c r="I405" s="84"/>
      <c r="J405" s="84"/>
      <c r="K405" s="198"/>
      <c r="L405" s="84">
        <f>L406</f>
        <v>624</v>
      </c>
      <c r="M405" s="84">
        <f>M406</f>
        <v>624</v>
      </c>
      <c r="N405" s="201">
        <f t="shared" si="97"/>
        <v>100</v>
      </c>
      <c r="O405" s="84">
        <f>I405+L405</f>
        <v>624</v>
      </c>
      <c r="P405" s="84">
        <f>J405+M405</f>
        <v>624</v>
      </c>
      <c r="Q405" s="203">
        <f t="shared" si="98"/>
        <v>100</v>
      </c>
    </row>
    <row r="406" spans="2:17" x14ac:dyDescent="0.2">
      <c r="B406" s="72">
        <f t="shared" si="87"/>
        <v>398</v>
      </c>
      <c r="C406" s="12"/>
      <c r="D406" s="12"/>
      <c r="E406" s="12"/>
      <c r="F406" s="53"/>
      <c r="G406" s="4"/>
      <c r="H406" s="4" t="s">
        <v>718</v>
      </c>
      <c r="I406" s="23"/>
      <c r="J406" s="23"/>
      <c r="K406" s="198"/>
      <c r="L406" s="23">
        <v>624</v>
      </c>
      <c r="M406" s="23">
        <v>624</v>
      </c>
      <c r="N406" s="201">
        <f t="shared" si="97"/>
        <v>100</v>
      </c>
      <c r="O406" s="23">
        <f>I406+L406</f>
        <v>624</v>
      </c>
      <c r="P406" s="23">
        <f>J406+M406</f>
        <v>624</v>
      </c>
      <c r="Q406" s="203">
        <f t="shared" si="98"/>
        <v>100</v>
      </c>
    </row>
    <row r="407" spans="2:17" x14ac:dyDescent="0.2">
      <c r="B407" s="72">
        <f t="shared" si="87"/>
        <v>399</v>
      </c>
      <c r="C407" s="12"/>
      <c r="D407" s="12"/>
      <c r="E407" s="12"/>
      <c r="F407" s="82" t="s">
        <v>269</v>
      </c>
      <c r="G407" s="83">
        <v>717</v>
      </c>
      <c r="H407" s="83" t="s">
        <v>193</v>
      </c>
      <c r="I407" s="84"/>
      <c r="J407" s="84"/>
      <c r="K407" s="198"/>
      <c r="L407" s="84">
        <f>SUM(L408:L409)</f>
        <v>83376</v>
      </c>
      <c r="M407" s="84">
        <f>SUM(M408:M409)</f>
        <v>50932</v>
      </c>
      <c r="N407" s="201">
        <f t="shared" si="97"/>
        <v>61.087123392822875</v>
      </c>
      <c r="O407" s="84">
        <f>L407+I407</f>
        <v>83376</v>
      </c>
      <c r="P407" s="84">
        <f>M407+J407</f>
        <v>50932</v>
      </c>
      <c r="Q407" s="203">
        <f t="shared" si="98"/>
        <v>61.087123392822875</v>
      </c>
    </row>
    <row r="408" spans="2:17" x14ac:dyDescent="0.2">
      <c r="B408" s="72">
        <f t="shared" si="87"/>
        <v>400</v>
      </c>
      <c r="C408" s="12"/>
      <c r="D408" s="12"/>
      <c r="E408" s="12"/>
      <c r="F408" s="53"/>
      <c r="G408" s="4"/>
      <c r="H408" s="4" t="s">
        <v>649</v>
      </c>
      <c r="I408" s="23"/>
      <c r="J408" s="23"/>
      <c r="K408" s="198"/>
      <c r="L408" s="23">
        <f>44000-624</f>
        <v>43376</v>
      </c>
      <c r="M408" s="23">
        <v>10992</v>
      </c>
      <c r="N408" s="201">
        <f t="shared" si="97"/>
        <v>25.341202508299521</v>
      </c>
      <c r="O408" s="23">
        <f>L408+I408</f>
        <v>43376</v>
      </c>
      <c r="P408" s="23">
        <f>M408+J408</f>
        <v>10992</v>
      </c>
      <c r="Q408" s="203">
        <f t="shared" si="98"/>
        <v>25.341202508299521</v>
      </c>
    </row>
    <row r="409" spans="2:17" x14ac:dyDescent="0.2">
      <c r="B409" s="72">
        <f t="shared" si="87"/>
        <v>401</v>
      </c>
      <c r="C409" s="12"/>
      <c r="D409" s="12"/>
      <c r="E409" s="12"/>
      <c r="F409" s="53"/>
      <c r="G409" s="4"/>
      <c r="H409" s="115" t="s">
        <v>658</v>
      </c>
      <c r="I409" s="114"/>
      <c r="J409" s="114"/>
      <c r="K409" s="198"/>
      <c r="L409" s="114">
        <f>30000+10000</f>
        <v>40000</v>
      </c>
      <c r="M409" s="114">
        <f>1120+38820</f>
        <v>39940</v>
      </c>
      <c r="N409" s="201">
        <f t="shared" si="97"/>
        <v>99.850000000000009</v>
      </c>
      <c r="O409" s="114">
        <f>I409+L409</f>
        <v>40000</v>
      </c>
      <c r="P409" s="114">
        <f>J409+M409</f>
        <v>39940</v>
      </c>
      <c r="Q409" s="203">
        <f t="shared" si="98"/>
        <v>99.850000000000009</v>
      </c>
    </row>
    <row r="410" spans="2:17" ht="15" x14ac:dyDescent="0.25">
      <c r="B410" s="72">
        <f t="shared" si="87"/>
        <v>402</v>
      </c>
      <c r="C410" s="15"/>
      <c r="D410" s="15"/>
      <c r="E410" s="15">
        <v>12</v>
      </c>
      <c r="F410" s="50"/>
      <c r="G410" s="15"/>
      <c r="H410" s="15" t="s">
        <v>271</v>
      </c>
      <c r="I410" s="47">
        <f>I411+I412+I413+I421+I422+I423+I424+I431+I435+I433+I432</f>
        <v>1071231</v>
      </c>
      <c r="J410" s="47">
        <f>J411+J412+J413+J421+J422+J423+J424+J431+J432+J433+J435</f>
        <v>1060001</v>
      </c>
      <c r="K410" s="198">
        <f t="shared" ref="K410:K427" si="99">J410/I410*100</f>
        <v>98.951673355233368</v>
      </c>
      <c r="L410" s="47">
        <f>L411+L412+L413+L421+L422+L423+L424+L431</f>
        <v>0</v>
      </c>
      <c r="M410" s="47">
        <f>M411+M412+M413+M421+M422+M423+M424+M431</f>
        <v>0</v>
      </c>
      <c r="N410" s="201"/>
      <c r="O410" s="47">
        <f t="shared" ref="O410:O433" si="100">L410+I410</f>
        <v>1071231</v>
      </c>
      <c r="P410" s="47">
        <f t="shared" ref="P410:P433" si="101">M410+J410</f>
        <v>1060001</v>
      </c>
      <c r="Q410" s="203">
        <f t="shared" si="98"/>
        <v>98.951673355233368</v>
      </c>
    </row>
    <row r="411" spans="2:17" x14ac:dyDescent="0.2">
      <c r="B411" s="72">
        <f t="shared" si="87"/>
        <v>403</v>
      </c>
      <c r="C411" s="12"/>
      <c r="D411" s="12"/>
      <c r="E411" s="12"/>
      <c r="F411" s="52" t="s">
        <v>125</v>
      </c>
      <c r="G411" s="12">
        <v>610</v>
      </c>
      <c r="H411" s="12" t="s">
        <v>135</v>
      </c>
      <c r="I411" s="49">
        <v>264569</v>
      </c>
      <c r="J411" s="49">
        <v>264569</v>
      </c>
      <c r="K411" s="198">
        <f t="shared" si="99"/>
        <v>100</v>
      </c>
      <c r="L411" s="49"/>
      <c r="M411" s="49"/>
      <c r="N411" s="201"/>
      <c r="O411" s="49">
        <f t="shared" si="100"/>
        <v>264569</v>
      </c>
      <c r="P411" s="49">
        <f t="shared" si="101"/>
        <v>264569</v>
      </c>
      <c r="Q411" s="203">
        <f t="shared" si="98"/>
        <v>100</v>
      </c>
    </row>
    <row r="412" spans="2:17" x14ac:dyDescent="0.2">
      <c r="B412" s="72">
        <f t="shared" si="87"/>
        <v>404</v>
      </c>
      <c r="C412" s="12"/>
      <c r="D412" s="12"/>
      <c r="E412" s="12"/>
      <c r="F412" s="52" t="s">
        <v>125</v>
      </c>
      <c r="G412" s="12">
        <v>620</v>
      </c>
      <c r="H412" s="12" t="s">
        <v>130</v>
      </c>
      <c r="I412" s="49">
        <v>97360</v>
      </c>
      <c r="J412" s="49">
        <v>97360</v>
      </c>
      <c r="K412" s="198">
        <f t="shared" si="99"/>
        <v>100</v>
      </c>
      <c r="L412" s="49"/>
      <c r="M412" s="49"/>
      <c r="N412" s="201"/>
      <c r="O412" s="49">
        <f t="shared" si="100"/>
        <v>97360</v>
      </c>
      <c r="P412" s="49">
        <f t="shared" si="101"/>
        <v>97360</v>
      </c>
      <c r="Q412" s="203">
        <f t="shared" si="98"/>
        <v>100</v>
      </c>
    </row>
    <row r="413" spans="2:17" x14ac:dyDescent="0.2">
      <c r="B413" s="72">
        <f t="shared" si="87"/>
        <v>405</v>
      </c>
      <c r="C413" s="12"/>
      <c r="D413" s="12"/>
      <c r="E413" s="12"/>
      <c r="F413" s="52" t="s">
        <v>125</v>
      </c>
      <c r="G413" s="12">
        <v>630</v>
      </c>
      <c r="H413" s="12" t="s">
        <v>127</v>
      </c>
      <c r="I413" s="49">
        <f>I420+I419+I418+I417+I416+I415+I414</f>
        <v>72697</v>
      </c>
      <c r="J413" s="49">
        <f>J420+J419+J418+J417+J416+J415+J414</f>
        <v>72691</v>
      </c>
      <c r="K413" s="198">
        <f t="shared" si="99"/>
        <v>99.99174656450748</v>
      </c>
      <c r="L413" s="49">
        <v>0</v>
      </c>
      <c r="M413" s="49"/>
      <c r="N413" s="201"/>
      <c r="O413" s="49">
        <f t="shared" si="100"/>
        <v>72697</v>
      </c>
      <c r="P413" s="49">
        <f t="shared" si="101"/>
        <v>72691</v>
      </c>
      <c r="Q413" s="203">
        <f t="shared" si="98"/>
        <v>99.99174656450748</v>
      </c>
    </row>
    <row r="414" spans="2:17" x14ac:dyDescent="0.2">
      <c r="B414" s="72">
        <f t="shared" si="87"/>
        <v>406</v>
      </c>
      <c r="C414" s="4"/>
      <c r="D414" s="4"/>
      <c r="E414" s="4"/>
      <c r="F414" s="53" t="s">
        <v>125</v>
      </c>
      <c r="G414" s="4">
        <v>631</v>
      </c>
      <c r="H414" s="4" t="s">
        <v>133</v>
      </c>
      <c r="I414" s="23">
        <v>275</v>
      </c>
      <c r="J414" s="23">
        <v>277</v>
      </c>
      <c r="K414" s="198">
        <f t="shared" si="99"/>
        <v>100.72727272727273</v>
      </c>
      <c r="L414" s="23"/>
      <c r="M414" s="23"/>
      <c r="N414" s="201"/>
      <c r="O414" s="23">
        <f t="shared" si="100"/>
        <v>275</v>
      </c>
      <c r="P414" s="23">
        <f t="shared" si="101"/>
        <v>277</v>
      </c>
      <c r="Q414" s="203">
        <f t="shared" si="98"/>
        <v>100.72727272727273</v>
      </c>
    </row>
    <row r="415" spans="2:17" x14ac:dyDescent="0.2">
      <c r="B415" s="72">
        <f t="shared" si="87"/>
        <v>407</v>
      </c>
      <c r="C415" s="4"/>
      <c r="D415" s="4"/>
      <c r="E415" s="4"/>
      <c r="F415" s="53" t="s">
        <v>125</v>
      </c>
      <c r="G415" s="4">
        <v>632</v>
      </c>
      <c r="H415" s="4" t="s">
        <v>138</v>
      </c>
      <c r="I415" s="23">
        <f>25934-1300</f>
        <v>24634</v>
      </c>
      <c r="J415" s="23">
        <v>24634</v>
      </c>
      <c r="K415" s="198">
        <f t="shared" si="99"/>
        <v>100</v>
      </c>
      <c r="L415" s="23"/>
      <c r="M415" s="23"/>
      <c r="N415" s="201"/>
      <c r="O415" s="23">
        <f t="shared" si="100"/>
        <v>24634</v>
      </c>
      <c r="P415" s="23">
        <f t="shared" si="101"/>
        <v>24634</v>
      </c>
      <c r="Q415" s="203">
        <f t="shared" si="98"/>
        <v>100</v>
      </c>
    </row>
    <row r="416" spans="2:17" x14ac:dyDescent="0.2">
      <c r="B416" s="72">
        <f t="shared" si="87"/>
        <v>408</v>
      </c>
      <c r="C416" s="4"/>
      <c r="D416" s="4"/>
      <c r="E416" s="4"/>
      <c r="F416" s="53" t="s">
        <v>125</v>
      </c>
      <c r="G416" s="4">
        <v>633</v>
      </c>
      <c r="H416" s="4" t="s">
        <v>131</v>
      </c>
      <c r="I416" s="23">
        <f>13589+300-1548</f>
        <v>12341</v>
      </c>
      <c r="J416" s="23">
        <v>12341</v>
      </c>
      <c r="K416" s="198">
        <f t="shared" si="99"/>
        <v>100</v>
      </c>
      <c r="L416" s="23"/>
      <c r="M416" s="23"/>
      <c r="N416" s="201"/>
      <c r="O416" s="23">
        <f t="shared" si="100"/>
        <v>12341</v>
      </c>
      <c r="P416" s="23">
        <f t="shared" si="101"/>
        <v>12341</v>
      </c>
      <c r="Q416" s="203">
        <f t="shared" si="98"/>
        <v>100</v>
      </c>
    </row>
    <row r="417" spans="2:17" x14ac:dyDescent="0.2">
      <c r="B417" s="72">
        <f t="shared" si="87"/>
        <v>409</v>
      </c>
      <c r="C417" s="4"/>
      <c r="D417" s="4"/>
      <c r="E417" s="4"/>
      <c r="F417" s="53" t="s">
        <v>125</v>
      </c>
      <c r="G417" s="4">
        <v>634</v>
      </c>
      <c r="H417" s="4" t="s">
        <v>136</v>
      </c>
      <c r="I417" s="23">
        <f>112-30</f>
        <v>82</v>
      </c>
      <c r="J417" s="23">
        <v>81</v>
      </c>
      <c r="K417" s="198">
        <f t="shared" si="99"/>
        <v>98.780487804878049</v>
      </c>
      <c r="L417" s="23"/>
      <c r="M417" s="23"/>
      <c r="N417" s="201"/>
      <c r="O417" s="23">
        <f t="shared" si="100"/>
        <v>82</v>
      </c>
      <c r="P417" s="23">
        <f t="shared" si="101"/>
        <v>81</v>
      </c>
      <c r="Q417" s="203">
        <f t="shared" si="98"/>
        <v>98.780487804878049</v>
      </c>
    </row>
    <row r="418" spans="2:17" x14ac:dyDescent="0.2">
      <c r="B418" s="72">
        <f t="shared" si="87"/>
        <v>410</v>
      </c>
      <c r="C418" s="4"/>
      <c r="D418" s="4"/>
      <c r="E418" s="4"/>
      <c r="F418" s="53" t="s">
        <v>125</v>
      </c>
      <c r="G418" s="4">
        <v>635</v>
      </c>
      <c r="H418" s="4" t="s">
        <v>137</v>
      </c>
      <c r="I418" s="23">
        <v>19655</v>
      </c>
      <c r="J418" s="23">
        <v>19652</v>
      </c>
      <c r="K418" s="198">
        <f t="shared" si="99"/>
        <v>99.984736708216744</v>
      </c>
      <c r="L418" s="23"/>
      <c r="M418" s="23"/>
      <c r="N418" s="201"/>
      <c r="O418" s="23">
        <f t="shared" si="100"/>
        <v>19655</v>
      </c>
      <c r="P418" s="23">
        <f t="shared" si="101"/>
        <v>19652</v>
      </c>
      <c r="Q418" s="203">
        <f t="shared" si="98"/>
        <v>99.984736708216744</v>
      </c>
    </row>
    <row r="419" spans="2:17" x14ac:dyDescent="0.2">
      <c r="B419" s="72">
        <f t="shared" si="87"/>
        <v>411</v>
      </c>
      <c r="C419" s="4"/>
      <c r="D419" s="4"/>
      <c r="E419" s="4"/>
      <c r="F419" s="53" t="s">
        <v>125</v>
      </c>
      <c r="G419" s="4">
        <v>636</v>
      </c>
      <c r="H419" s="4" t="s">
        <v>132</v>
      </c>
      <c r="I419" s="23">
        <v>1056</v>
      </c>
      <c r="J419" s="23">
        <v>1056</v>
      </c>
      <c r="K419" s="198">
        <f t="shared" si="99"/>
        <v>100</v>
      </c>
      <c r="L419" s="23"/>
      <c r="M419" s="23"/>
      <c r="N419" s="201"/>
      <c r="O419" s="23">
        <f t="shared" si="100"/>
        <v>1056</v>
      </c>
      <c r="P419" s="23">
        <f t="shared" si="101"/>
        <v>1056</v>
      </c>
      <c r="Q419" s="203">
        <f t="shared" si="98"/>
        <v>100</v>
      </c>
    </row>
    <row r="420" spans="2:17" x14ac:dyDescent="0.2">
      <c r="B420" s="72">
        <f t="shared" si="87"/>
        <v>412</v>
      </c>
      <c r="C420" s="4"/>
      <c r="D420" s="4"/>
      <c r="E420" s="4"/>
      <c r="F420" s="53" t="s">
        <v>125</v>
      </c>
      <c r="G420" s="4">
        <v>637</v>
      </c>
      <c r="H420" s="4" t="s">
        <v>128</v>
      </c>
      <c r="I420" s="23">
        <f>14724-70</f>
        <v>14654</v>
      </c>
      <c r="J420" s="23">
        <v>14650</v>
      </c>
      <c r="K420" s="198">
        <f t="shared" si="99"/>
        <v>99.972703698648829</v>
      </c>
      <c r="L420" s="23"/>
      <c r="M420" s="23"/>
      <c r="N420" s="201"/>
      <c r="O420" s="23">
        <f t="shared" si="100"/>
        <v>14654</v>
      </c>
      <c r="P420" s="23">
        <f t="shared" si="101"/>
        <v>14650</v>
      </c>
      <c r="Q420" s="203">
        <f t="shared" si="98"/>
        <v>99.972703698648829</v>
      </c>
    </row>
    <row r="421" spans="2:17" x14ac:dyDescent="0.2">
      <c r="B421" s="72">
        <f t="shared" si="87"/>
        <v>413</v>
      </c>
      <c r="C421" s="12"/>
      <c r="D421" s="12"/>
      <c r="E421" s="12"/>
      <c r="F421" s="52" t="s">
        <v>125</v>
      </c>
      <c r="G421" s="12">
        <v>640</v>
      </c>
      <c r="H421" s="12" t="s">
        <v>134</v>
      </c>
      <c r="I421" s="49">
        <f>9319-2022</f>
        <v>7297</v>
      </c>
      <c r="J421" s="49">
        <v>7297</v>
      </c>
      <c r="K421" s="198">
        <f t="shared" si="99"/>
        <v>100</v>
      </c>
      <c r="L421" s="49"/>
      <c r="M421" s="49"/>
      <c r="N421" s="201"/>
      <c r="O421" s="49">
        <f t="shared" si="100"/>
        <v>7297</v>
      </c>
      <c r="P421" s="49">
        <f t="shared" si="101"/>
        <v>7297</v>
      </c>
      <c r="Q421" s="203">
        <f t="shared" si="98"/>
        <v>100</v>
      </c>
    </row>
    <row r="422" spans="2:17" x14ac:dyDescent="0.2">
      <c r="B422" s="72">
        <f t="shared" si="87"/>
        <v>414</v>
      </c>
      <c r="C422" s="12"/>
      <c r="D422" s="12"/>
      <c r="E422" s="12"/>
      <c r="F422" s="52" t="s">
        <v>269</v>
      </c>
      <c r="G422" s="12">
        <v>610</v>
      </c>
      <c r="H422" s="12" t="s">
        <v>135</v>
      </c>
      <c r="I422" s="49">
        <f>330163+16268+6206</f>
        <v>352637</v>
      </c>
      <c r="J422" s="49">
        <v>352637</v>
      </c>
      <c r="K422" s="198">
        <f t="shared" si="99"/>
        <v>100</v>
      </c>
      <c r="L422" s="49"/>
      <c r="M422" s="49"/>
      <c r="N422" s="201"/>
      <c r="O422" s="49">
        <f t="shared" si="100"/>
        <v>352637</v>
      </c>
      <c r="P422" s="49">
        <f t="shared" si="101"/>
        <v>352637</v>
      </c>
      <c r="Q422" s="203">
        <f t="shared" si="98"/>
        <v>100</v>
      </c>
    </row>
    <row r="423" spans="2:17" x14ac:dyDescent="0.2">
      <c r="B423" s="72">
        <f t="shared" ref="B423:B460" si="102">B422+1</f>
        <v>415</v>
      </c>
      <c r="C423" s="12"/>
      <c r="D423" s="12"/>
      <c r="E423" s="12"/>
      <c r="F423" s="52" t="s">
        <v>269</v>
      </c>
      <c r="G423" s="12">
        <v>620</v>
      </c>
      <c r="H423" s="12" t="s">
        <v>130</v>
      </c>
      <c r="I423" s="49">
        <f>121006+7443</f>
        <v>128449</v>
      </c>
      <c r="J423" s="49">
        <v>128449</v>
      </c>
      <c r="K423" s="198">
        <f t="shared" si="99"/>
        <v>100</v>
      </c>
      <c r="L423" s="49"/>
      <c r="M423" s="49"/>
      <c r="N423" s="201"/>
      <c r="O423" s="49">
        <f t="shared" si="100"/>
        <v>128449</v>
      </c>
      <c r="P423" s="49">
        <f t="shared" si="101"/>
        <v>128449</v>
      </c>
      <c r="Q423" s="203">
        <f t="shared" si="98"/>
        <v>100</v>
      </c>
    </row>
    <row r="424" spans="2:17" x14ac:dyDescent="0.2">
      <c r="B424" s="72">
        <f t="shared" si="102"/>
        <v>416</v>
      </c>
      <c r="C424" s="12"/>
      <c r="D424" s="12"/>
      <c r="E424" s="12"/>
      <c r="F424" s="52" t="s">
        <v>269</v>
      </c>
      <c r="G424" s="12">
        <v>630</v>
      </c>
      <c r="H424" s="12" t="s">
        <v>127</v>
      </c>
      <c r="I424" s="49">
        <f>I430+I429+I428+I427+I426+I425</f>
        <v>131876</v>
      </c>
      <c r="J424" s="49">
        <f>J430+J429+J428+J427+J426+J425</f>
        <v>122204</v>
      </c>
      <c r="K424" s="198">
        <f t="shared" si="99"/>
        <v>92.665837605022901</v>
      </c>
      <c r="L424" s="49">
        <v>0</v>
      </c>
      <c r="M424" s="49">
        <v>0</v>
      </c>
      <c r="N424" s="201"/>
      <c r="O424" s="49">
        <f t="shared" si="100"/>
        <v>131876</v>
      </c>
      <c r="P424" s="49">
        <f t="shared" si="101"/>
        <v>122204</v>
      </c>
      <c r="Q424" s="203">
        <f t="shared" si="98"/>
        <v>92.665837605022901</v>
      </c>
    </row>
    <row r="425" spans="2:17" x14ac:dyDescent="0.2">
      <c r="B425" s="72">
        <f t="shared" si="102"/>
        <v>417</v>
      </c>
      <c r="C425" s="4"/>
      <c r="D425" s="4"/>
      <c r="E425" s="4"/>
      <c r="F425" s="53" t="s">
        <v>269</v>
      </c>
      <c r="G425" s="4">
        <v>631</v>
      </c>
      <c r="H425" s="4" t="s">
        <v>133</v>
      </c>
      <c r="I425" s="23">
        <f>337+223</f>
        <v>560</v>
      </c>
      <c r="J425" s="23">
        <v>555</v>
      </c>
      <c r="K425" s="198">
        <f t="shared" si="99"/>
        <v>99.107142857142861</v>
      </c>
      <c r="L425" s="23"/>
      <c r="M425" s="23"/>
      <c r="N425" s="201"/>
      <c r="O425" s="23">
        <f t="shared" si="100"/>
        <v>560</v>
      </c>
      <c r="P425" s="23">
        <f t="shared" si="101"/>
        <v>555</v>
      </c>
      <c r="Q425" s="203">
        <f t="shared" si="98"/>
        <v>99.107142857142861</v>
      </c>
    </row>
    <row r="426" spans="2:17" x14ac:dyDescent="0.2">
      <c r="B426" s="72">
        <f t="shared" si="102"/>
        <v>418</v>
      </c>
      <c r="C426" s="4"/>
      <c r="D426" s="4"/>
      <c r="E426" s="4"/>
      <c r="F426" s="53" t="s">
        <v>269</v>
      </c>
      <c r="G426" s="4">
        <v>632</v>
      </c>
      <c r="H426" s="4" t="s">
        <v>138</v>
      </c>
      <c r="I426" s="23">
        <f>31697+12520-3288</f>
        <v>40929</v>
      </c>
      <c r="J426" s="23">
        <v>36445</v>
      </c>
      <c r="K426" s="198">
        <f t="shared" si="99"/>
        <v>89.044442815607511</v>
      </c>
      <c r="L426" s="23"/>
      <c r="M426" s="23"/>
      <c r="N426" s="201"/>
      <c r="O426" s="23">
        <f t="shared" si="100"/>
        <v>40929</v>
      </c>
      <c r="P426" s="23">
        <f t="shared" si="101"/>
        <v>36445</v>
      </c>
      <c r="Q426" s="203">
        <f t="shared" si="98"/>
        <v>89.044442815607511</v>
      </c>
    </row>
    <row r="427" spans="2:17" x14ac:dyDescent="0.2">
      <c r="B427" s="72">
        <f t="shared" si="102"/>
        <v>419</v>
      </c>
      <c r="C427" s="4"/>
      <c r="D427" s="4"/>
      <c r="E427" s="4"/>
      <c r="F427" s="53" t="s">
        <v>269</v>
      </c>
      <c r="G427" s="4">
        <v>633</v>
      </c>
      <c r="H427" s="4" t="s">
        <v>131</v>
      </c>
      <c r="I427" s="23">
        <f>28831-1360+40</f>
        <v>27511</v>
      </c>
      <c r="J427" s="23">
        <v>26440</v>
      </c>
      <c r="K427" s="198">
        <f t="shared" si="99"/>
        <v>96.107011740758239</v>
      </c>
      <c r="L427" s="23"/>
      <c r="M427" s="23"/>
      <c r="N427" s="201"/>
      <c r="O427" s="23">
        <f t="shared" si="100"/>
        <v>27511</v>
      </c>
      <c r="P427" s="23">
        <f t="shared" si="101"/>
        <v>26440</v>
      </c>
      <c r="Q427" s="203">
        <f t="shared" si="98"/>
        <v>96.107011740758239</v>
      </c>
    </row>
    <row r="428" spans="2:17" x14ac:dyDescent="0.2">
      <c r="B428" s="72">
        <f t="shared" si="102"/>
        <v>420</v>
      </c>
      <c r="C428" s="4"/>
      <c r="D428" s="4"/>
      <c r="E428" s="4"/>
      <c r="F428" s="53" t="s">
        <v>269</v>
      </c>
      <c r="G428" s="4">
        <v>635</v>
      </c>
      <c r="H428" s="4" t="s">
        <v>137</v>
      </c>
      <c r="I428" s="23">
        <f>26282-90</f>
        <v>26192</v>
      </c>
      <c r="J428" s="23">
        <v>23614</v>
      </c>
      <c r="K428" s="198">
        <f t="shared" ref="K428:K433" si="103">J428/I428*100</f>
        <v>90.157299938912644</v>
      </c>
      <c r="L428" s="23"/>
      <c r="M428" s="23"/>
      <c r="N428" s="201"/>
      <c r="O428" s="23">
        <f t="shared" si="100"/>
        <v>26192</v>
      </c>
      <c r="P428" s="23">
        <f t="shared" si="101"/>
        <v>23614</v>
      </c>
      <c r="Q428" s="203">
        <f t="shared" ref="Q428:Q433" si="104">P428/O428*100</f>
        <v>90.157299938912644</v>
      </c>
    </row>
    <row r="429" spans="2:17" x14ac:dyDescent="0.2">
      <c r="B429" s="72">
        <f t="shared" si="102"/>
        <v>421</v>
      </c>
      <c r="C429" s="4"/>
      <c r="D429" s="4"/>
      <c r="E429" s="4"/>
      <c r="F429" s="53" t="s">
        <v>269</v>
      </c>
      <c r="G429" s="4">
        <v>636</v>
      </c>
      <c r="H429" s="4" t="s">
        <v>132</v>
      </c>
      <c r="I429" s="23">
        <f>1290+2000</f>
        <v>3290</v>
      </c>
      <c r="J429" s="23">
        <v>3292</v>
      </c>
      <c r="K429" s="198">
        <f t="shared" si="103"/>
        <v>100.06079027355624</v>
      </c>
      <c r="L429" s="23"/>
      <c r="M429" s="23"/>
      <c r="N429" s="201"/>
      <c r="O429" s="23">
        <f t="shared" si="100"/>
        <v>3290</v>
      </c>
      <c r="P429" s="23">
        <f t="shared" si="101"/>
        <v>3292</v>
      </c>
      <c r="Q429" s="203">
        <f t="shared" si="104"/>
        <v>100.06079027355624</v>
      </c>
    </row>
    <row r="430" spans="2:17" x14ac:dyDescent="0.2">
      <c r="B430" s="72">
        <f t="shared" si="102"/>
        <v>422</v>
      </c>
      <c r="C430" s="4"/>
      <c r="D430" s="4"/>
      <c r="E430" s="4"/>
      <c r="F430" s="53" t="s">
        <v>269</v>
      </c>
      <c r="G430" s="4">
        <v>637</v>
      </c>
      <c r="H430" s="4" t="s">
        <v>128</v>
      </c>
      <c r="I430" s="23">
        <f>20574+8120+4700</f>
        <v>33394</v>
      </c>
      <c r="J430" s="23">
        <v>31858</v>
      </c>
      <c r="K430" s="198">
        <f t="shared" si="103"/>
        <v>95.400371324189976</v>
      </c>
      <c r="L430" s="23"/>
      <c r="M430" s="23"/>
      <c r="N430" s="201"/>
      <c r="O430" s="23">
        <f t="shared" si="100"/>
        <v>33394</v>
      </c>
      <c r="P430" s="23">
        <f t="shared" si="101"/>
        <v>31858</v>
      </c>
      <c r="Q430" s="203">
        <f t="shared" si="104"/>
        <v>95.400371324189976</v>
      </c>
    </row>
    <row r="431" spans="2:17" x14ac:dyDescent="0.2">
      <c r="B431" s="72">
        <f t="shared" si="102"/>
        <v>423</v>
      </c>
      <c r="C431" s="12"/>
      <c r="D431" s="12"/>
      <c r="E431" s="12"/>
      <c r="F431" s="52" t="s">
        <v>269</v>
      </c>
      <c r="G431" s="12">
        <v>640</v>
      </c>
      <c r="H431" s="12" t="s">
        <v>134</v>
      </c>
      <c r="I431" s="49">
        <f>11447+392</f>
        <v>11839</v>
      </c>
      <c r="J431" s="49">
        <v>10180</v>
      </c>
      <c r="K431" s="198">
        <f t="shared" si="103"/>
        <v>85.986992144606816</v>
      </c>
      <c r="L431" s="49"/>
      <c r="M431" s="49"/>
      <c r="N431" s="201"/>
      <c r="O431" s="49">
        <f t="shared" si="100"/>
        <v>11839</v>
      </c>
      <c r="P431" s="49">
        <f t="shared" si="101"/>
        <v>10180</v>
      </c>
      <c r="Q431" s="203">
        <f t="shared" si="104"/>
        <v>85.986992144606816</v>
      </c>
    </row>
    <row r="432" spans="2:17" x14ac:dyDescent="0.2">
      <c r="B432" s="72">
        <f t="shared" si="102"/>
        <v>424</v>
      </c>
      <c r="C432" s="12"/>
      <c r="D432" s="12"/>
      <c r="E432" s="12"/>
      <c r="F432" s="52" t="s">
        <v>269</v>
      </c>
      <c r="G432" s="12">
        <v>630</v>
      </c>
      <c r="H432" s="12" t="s">
        <v>693</v>
      </c>
      <c r="I432" s="49">
        <v>2600</v>
      </c>
      <c r="J432" s="49">
        <v>2600</v>
      </c>
      <c r="K432" s="198">
        <f t="shared" si="103"/>
        <v>100</v>
      </c>
      <c r="L432" s="49"/>
      <c r="M432" s="49"/>
      <c r="N432" s="201"/>
      <c r="O432" s="49">
        <f t="shared" si="100"/>
        <v>2600</v>
      </c>
      <c r="P432" s="49">
        <f t="shared" si="101"/>
        <v>2600</v>
      </c>
      <c r="Q432" s="203">
        <f t="shared" si="104"/>
        <v>100</v>
      </c>
    </row>
    <row r="433" spans="2:17" x14ac:dyDescent="0.2">
      <c r="B433" s="72">
        <f t="shared" si="102"/>
        <v>425</v>
      </c>
      <c r="C433" s="12"/>
      <c r="D433" s="12"/>
      <c r="E433" s="12"/>
      <c r="F433" s="52" t="s">
        <v>75</v>
      </c>
      <c r="G433" s="12">
        <v>630</v>
      </c>
      <c r="H433" s="12" t="s">
        <v>643</v>
      </c>
      <c r="I433" s="49">
        <f>400+300+40</f>
        <v>740</v>
      </c>
      <c r="J433" s="49">
        <v>847</v>
      </c>
      <c r="K433" s="198">
        <f t="shared" si="103"/>
        <v>114.45945945945945</v>
      </c>
      <c r="L433" s="49"/>
      <c r="M433" s="49"/>
      <c r="N433" s="201"/>
      <c r="O433" s="49">
        <f t="shared" si="100"/>
        <v>740</v>
      </c>
      <c r="P433" s="49">
        <f t="shared" si="101"/>
        <v>847</v>
      </c>
      <c r="Q433" s="203">
        <f t="shared" si="104"/>
        <v>114.45945945945945</v>
      </c>
    </row>
    <row r="434" spans="2:17" x14ac:dyDescent="0.2">
      <c r="B434" s="72">
        <f t="shared" si="102"/>
        <v>426</v>
      </c>
      <c r="C434" s="12"/>
      <c r="D434" s="12"/>
      <c r="E434" s="12"/>
      <c r="F434" s="52"/>
      <c r="G434" s="12"/>
      <c r="H434" s="12"/>
      <c r="I434" s="49"/>
      <c r="J434" s="49"/>
      <c r="K434" s="198"/>
      <c r="L434" s="49"/>
      <c r="M434" s="49"/>
      <c r="N434" s="201"/>
      <c r="O434" s="49"/>
      <c r="P434" s="49"/>
      <c r="Q434" s="203"/>
    </row>
    <row r="435" spans="2:17" x14ac:dyDescent="0.2">
      <c r="B435" s="72">
        <f t="shared" si="102"/>
        <v>427</v>
      </c>
      <c r="C435" s="12"/>
      <c r="D435" s="12"/>
      <c r="E435" s="12"/>
      <c r="F435" s="52"/>
      <c r="G435" s="12">
        <v>630</v>
      </c>
      <c r="H435" s="12" t="s">
        <v>596</v>
      </c>
      <c r="I435" s="49">
        <v>1167</v>
      </c>
      <c r="J435" s="49">
        <v>1167</v>
      </c>
      <c r="K435" s="198">
        <f t="shared" ref="K435:K443" si="105">J435/I435*100</f>
        <v>100</v>
      </c>
      <c r="L435" s="49"/>
      <c r="M435" s="49"/>
      <c r="N435" s="201"/>
      <c r="O435" s="49">
        <f t="shared" ref="O435:O456" si="106">L435+I435</f>
        <v>1167</v>
      </c>
      <c r="P435" s="49">
        <f t="shared" ref="P435:P456" si="107">M435+J435</f>
        <v>1167</v>
      </c>
      <c r="Q435" s="203">
        <f t="shared" ref="Q435:Q441" si="108">P435/O435*100</f>
        <v>100</v>
      </c>
    </row>
    <row r="436" spans="2:17" ht="15" x14ac:dyDescent="0.25">
      <c r="B436" s="72">
        <f t="shared" si="102"/>
        <v>428</v>
      </c>
      <c r="C436" s="15"/>
      <c r="D436" s="15"/>
      <c r="E436" s="15">
        <v>13</v>
      </c>
      <c r="F436" s="50"/>
      <c r="G436" s="15"/>
      <c r="H436" s="15" t="s">
        <v>254</v>
      </c>
      <c r="I436" s="47">
        <f>I437+I438+I439+I443+I447+I448+I449+I455+I458+I456</f>
        <v>408697</v>
      </c>
      <c r="J436" s="47">
        <f>J437+J438+J439+J443+J447+J448+J449+J455+J456+J458</f>
        <v>406773</v>
      </c>
      <c r="K436" s="198">
        <f t="shared" si="105"/>
        <v>99.529235595074113</v>
      </c>
      <c r="L436" s="47">
        <f>L444+L463+L460</f>
        <v>167000</v>
      </c>
      <c r="M436" s="47">
        <f>M444+M463+M460</f>
        <v>43190</v>
      </c>
      <c r="N436" s="201">
        <f t="shared" ref="N436:N466" si="109">M436/L436*100</f>
        <v>25.862275449101794</v>
      </c>
      <c r="O436" s="47">
        <f t="shared" si="106"/>
        <v>575697</v>
      </c>
      <c r="P436" s="47">
        <f t="shared" si="107"/>
        <v>449963</v>
      </c>
      <c r="Q436" s="203">
        <f t="shared" si="108"/>
        <v>78.159691643347102</v>
      </c>
    </row>
    <row r="437" spans="2:17" x14ac:dyDescent="0.2">
      <c r="B437" s="72">
        <f t="shared" si="102"/>
        <v>429</v>
      </c>
      <c r="C437" s="12"/>
      <c r="D437" s="12"/>
      <c r="E437" s="12"/>
      <c r="F437" s="52" t="s">
        <v>125</v>
      </c>
      <c r="G437" s="12">
        <v>610</v>
      </c>
      <c r="H437" s="12" t="s">
        <v>135</v>
      </c>
      <c r="I437" s="49">
        <f>90412-22558+19</f>
        <v>67873</v>
      </c>
      <c r="J437" s="49">
        <v>67873</v>
      </c>
      <c r="K437" s="198">
        <f t="shared" si="105"/>
        <v>100</v>
      </c>
      <c r="L437" s="49"/>
      <c r="M437" s="49"/>
      <c r="N437" s="201"/>
      <c r="O437" s="49">
        <f t="shared" si="106"/>
        <v>67873</v>
      </c>
      <c r="P437" s="49">
        <f t="shared" si="107"/>
        <v>67873</v>
      </c>
      <c r="Q437" s="203">
        <f t="shared" si="108"/>
        <v>100</v>
      </c>
    </row>
    <row r="438" spans="2:17" x14ac:dyDescent="0.2">
      <c r="B438" s="72">
        <f t="shared" si="102"/>
        <v>430</v>
      </c>
      <c r="C438" s="12"/>
      <c r="D438" s="12"/>
      <c r="E438" s="12"/>
      <c r="F438" s="52" t="s">
        <v>125</v>
      </c>
      <c r="G438" s="12">
        <v>620</v>
      </c>
      <c r="H438" s="12" t="s">
        <v>130</v>
      </c>
      <c r="I438" s="49">
        <f>31593-6745+10</f>
        <v>24858</v>
      </c>
      <c r="J438" s="49">
        <v>24858</v>
      </c>
      <c r="K438" s="198">
        <f t="shared" si="105"/>
        <v>100</v>
      </c>
      <c r="L438" s="49"/>
      <c r="M438" s="49"/>
      <c r="N438" s="201"/>
      <c r="O438" s="49">
        <f t="shared" si="106"/>
        <v>24858</v>
      </c>
      <c r="P438" s="49">
        <f t="shared" si="107"/>
        <v>24858</v>
      </c>
      <c r="Q438" s="203">
        <f t="shared" si="108"/>
        <v>100</v>
      </c>
    </row>
    <row r="439" spans="2:17" x14ac:dyDescent="0.2">
      <c r="B439" s="72">
        <f t="shared" si="102"/>
        <v>431</v>
      </c>
      <c r="C439" s="12"/>
      <c r="D439" s="12"/>
      <c r="E439" s="12"/>
      <c r="F439" s="52" t="s">
        <v>125</v>
      </c>
      <c r="G439" s="12">
        <v>630</v>
      </c>
      <c r="H439" s="12" t="s">
        <v>127</v>
      </c>
      <c r="I439" s="49">
        <f>I442+I441+I440</f>
        <v>26577</v>
      </c>
      <c r="J439" s="49">
        <f>J442+J441+J440</f>
        <v>26576</v>
      </c>
      <c r="K439" s="198">
        <f t="shared" si="105"/>
        <v>99.996237348082929</v>
      </c>
      <c r="L439" s="49">
        <v>0</v>
      </c>
      <c r="M439" s="49"/>
      <c r="N439" s="201"/>
      <c r="O439" s="49">
        <f t="shared" si="106"/>
        <v>26577</v>
      </c>
      <c r="P439" s="49">
        <f t="shared" si="107"/>
        <v>26576</v>
      </c>
      <c r="Q439" s="203">
        <f t="shared" si="108"/>
        <v>99.996237348082929</v>
      </c>
    </row>
    <row r="440" spans="2:17" x14ac:dyDescent="0.2">
      <c r="B440" s="72">
        <f t="shared" si="102"/>
        <v>432</v>
      </c>
      <c r="C440" s="4"/>
      <c r="D440" s="4"/>
      <c r="E440" s="4"/>
      <c r="F440" s="53" t="s">
        <v>125</v>
      </c>
      <c r="G440" s="4">
        <v>632</v>
      </c>
      <c r="H440" s="4" t="s">
        <v>138</v>
      </c>
      <c r="I440" s="23">
        <f>19996+1000-88-17</f>
        <v>20891</v>
      </c>
      <c r="J440" s="23">
        <v>20891</v>
      </c>
      <c r="K440" s="198">
        <f t="shared" si="105"/>
        <v>100</v>
      </c>
      <c r="L440" s="23"/>
      <c r="M440" s="23"/>
      <c r="N440" s="201"/>
      <c r="O440" s="23">
        <f t="shared" si="106"/>
        <v>20891</v>
      </c>
      <c r="P440" s="23">
        <f t="shared" si="107"/>
        <v>20891</v>
      </c>
      <c r="Q440" s="203">
        <f t="shared" si="108"/>
        <v>100</v>
      </c>
    </row>
    <row r="441" spans="2:17" x14ac:dyDescent="0.2">
      <c r="B441" s="72">
        <f t="shared" si="102"/>
        <v>433</v>
      </c>
      <c r="C441" s="4"/>
      <c r="D441" s="4"/>
      <c r="E441" s="4"/>
      <c r="F441" s="53" t="s">
        <v>125</v>
      </c>
      <c r="G441" s="4">
        <v>633</v>
      </c>
      <c r="H441" s="4" t="s">
        <v>131</v>
      </c>
      <c r="I441" s="23">
        <f>2173-839</f>
        <v>1334</v>
      </c>
      <c r="J441" s="23">
        <v>1334</v>
      </c>
      <c r="K441" s="198">
        <f t="shared" si="105"/>
        <v>100</v>
      </c>
      <c r="L441" s="23"/>
      <c r="M441" s="23"/>
      <c r="N441" s="201"/>
      <c r="O441" s="23">
        <f t="shared" si="106"/>
        <v>1334</v>
      </c>
      <c r="P441" s="23">
        <f t="shared" si="107"/>
        <v>1334</v>
      </c>
      <c r="Q441" s="203">
        <f t="shared" si="108"/>
        <v>100</v>
      </c>
    </row>
    <row r="442" spans="2:17" x14ac:dyDescent="0.2">
      <c r="B442" s="72">
        <f t="shared" si="102"/>
        <v>434</v>
      </c>
      <c r="C442" s="4"/>
      <c r="D442" s="4"/>
      <c r="E442" s="4"/>
      <c r="F442" s="53" t="s">
        <v>125</v>
      </c>
      <c r="G442" s="4">
        <v>637</v>
      </c>
      <c r="H442" s="4" t="s">
        <v>128</v>
      </c>
      <c r="I442" s="23">
        <f>4652-300</f>
        <v>4352</v>
      </c>
      <c r="J442" s="23">
        <v>4351</v>
      </c>
      <c r="K442" s="198">
        <f t="shared" si="105"/>
        <v>99.977022058823522</v>
      </c>
      <c r="L442" s="23"/>
      <c r="M442" s="23"/>
      <c r="N442" s="201"/>
      <c r="O442" s="23">
        <f t="shared" si="106"/>
        <v>4352</v>
      </c>
      <c r="P442" s="23">
        <f t="shared" si="107"/>
        <v>4351</v>
      </c>
      <c r="Q442" s="203">
        <f t="shared" ref="Q442:Q449" si="110">P442/O442*100</f>
        <v>99.977022058823522</v>
      </c>
    </row>
    <row r="443" spans="2:17" x14ac:dyDescent="0.2">
      <c r="B443" s="72">
        <f t="shared" si="102"/>
        <v>435</v>
      </c>
      <c r="C443" s="12"/>
      <c r="D443" s="12"/>
      <c r="E443" s="12"/>
      <c r="F443" s="52" t="s">
        <v>125</v>
      </c>
      <c r="G443" s="12">
        <v>640</v>
      </c>
      <c r="H443" s="12" t="s">
        <v>134</v>
      </c>
      <c r="I443" s="49">
        <f>160+5090</f>
        <v>5250</v>
      </c>
      <c r="J443" s="49">
        <v>5251</v>
      </c>
      <c r="K443" s="198">
        <f t="shared" si="105"/>
        <v>100.01904761904763</v>
      </c>
      <c r="L443" s="49"/>
      <c r="M443" s="49"/>
      <c r="N443" s="201"/>
      <c r="O443" s="49">
        <f t="shared" si="106"/>
        <v>5250</v>
      </c>
      <c r="P443" s="49">
        <f t="shared" si="107"/>
        <v>5251</v>
      </c>
      <c r="Q443" s="203">
        <f t="shared" si="110"/>
        <v>100.01904761904763</v>
      </c>
    </row>
    <row r="444" spans="2:17" x14ac:dyDescent="0.2">
      <c r="B444" s="72">
        <f t="shared" si="102"/>
        <v>436</v>
      </c>
      <c r="C444" s="12"/>
      <c r="D444" s="12"/>
      <c r="E444" s="12"/>
      <c r="F444" s="52" t="s">
        <v>125</v>
      </c>
      <c r="G444" s="12">
        <v>710</v>
      </c>
      <c r="H444" s="12" t="s">
        <v>183</v>
      </c>
      <c r="I444" s="49">
        <f>I445</f>
        <v>0</v>
      </c>
      <c r="J444" s="49">
        <f>J445</f>
        <v>0</v>
      </c>
      <c r="K444" s="198"/>
      <c r="L444" s="49">
        <f>L445</f>
        <v>47000</v>
      </c>
      <c r="M444" s="49">
        <f>M445</f>
        <v>40912</v>
      </c>
      <c r="N444" s="201">
        <f t="shared" si="109"/>
        <v>87.0468085106383</v>
      </c>
      <c r="O444" s="49">
        <f t="shared" si="106"/>
        <v>47000</v>
      </c>
      <c r="P444" s="49">
        <f t="shared" si="107"/>
        <v>40912</v>
      </c>
      <c r="Q444" s="203">
        <f t="shared" si="110"/>
        <v>87.0468085106383</v>
      </c>
    </row>
    <row r="445" spans="2:17" x14ac:dyDescent="0.2">
      <c r="B445" s="72">
        <f t="shared" si="102"/>
        <v>437</v>
      </c>
      <c r="C445" s="12"/>
      <c r="D445" s="12"/>
      <c r="E445" s="12"/>
      <c r="F445" s="82" t="s">
        <v>125</v>
      </c>
      <c r="G445" s="83">
        <v>717</v>
      </c>
      <c r="H445" s="83" t="s">
        <v>193</v>
      </c>
      <c r="I445" s="84"/>
      <c r="J445" s="84"/>
      <c r="K445" s="198"/>
      <c r="L445" s="84">
        <f>SUM(L446:L447)</f>
        <v>47000</v>
      </c>
      <c r="M445" s="84">
        <f>SUM(M446:M447)</f>
        <v>40912</v>
      </c>
      <c r="N445" s="201">
        <f t="shared" si="109"/>
        <v>87.0468085106383</v>
      </c>
      <c r="O445" s="84">
        <f t="shared" si="106"/>
        <v>47000</v>
      </c>
      <c r="P445" s="84">
        <f t="shared" si="107"/>
        <v>40912</v>
      </c>
      <c r="Q445" s="203">
        <f t="shared" si="110"/>
        <v>87.0468085106383</v>
      </c>
    </row>
    <row r="446" spans="2:17" x14ac:dyDescent="0.2">
      <c r="B446" s="72">
        <f t="shared" si="102"/>
        <v>438</v>
      </c>
      <c r="C446" s="12"/>
      <c r="D446" s="12"/>
      <c r="E446" s="12"/>
      <c r="F446" s="64"/>
      <c r="G446" s="60"/>
      <c r="H446" s="115" t="s">
        <v>530</v>
      </c>
      <c r="I446" s="114"/>
      <c r="J446" s="114"/>
      <c r="K446" s="198"/>
      <c r="L446" s="114">
        <f>10000+47000-10000</f>
        <v>47000</v>
      </c>
      <c r="M446" s="114">
        <f>1128+39784</f>
        <v>40912</v>
      </c>
      <c r="N446" s="201">
        <f t="shared" si="109"/>
        <v>87.0468085106383</v>
      </c>
      <c r="O446" s="114">
        <f t="shared" si="106"/>
        <v>47000</v>
      </c>
      <c r="P446" s="114">
        <f t="shared" si="107"/>
        <v>40912</v>
      </c>
      <c r="Q446" s="203">
        <f t="shared" si="110"/>
        <v>87.0468085106383</v>
      </c>
    </row>
    <row r="447" spans="2:17" x14ac:dyDescent="0.2">
      <c r="B447" s="72">
        <f t="shared" si="102"/>
        <v>439</v>
      </c>
      <c r="C447" s="12"/>
      <c r="D447" s="12"/>
      <c r="E447" s="12"/>
      <c r="F447" s="52" t="s">
        <v>269</v>
      </c>
      <c r="G447" s="12">
        <v>610</v>
      </c>
      <c r="H447" s="12" t="s">
        <v>135</v>
      </c>
      <c r="I447" s="49">
        <f>139144+22110-3117</f>
        <v>158137</v>
      </c>
      <c r="J447" s="49">
        <v>158137</v>
      </c>
      <c r="K447" s="198">
        <f>J447/I447*100</f>
        <v>100</v>
      </c>
      <c r="L447" s="49"/>
      <c r="M447" s="49"/>
      <c r="N447" s="201"/>
      <c r="O447" s="49">
        <f t="shared" si="106"/>
        <v>158137</v>
      </c>
      <c r="P447" s="49">
        <f t="shared" si="107"/>
        <v>158137</v>
      </c>
      <c r="Q447" s="203">
        <f t="shared" si="110"/>
        <v>100</v>
      </c>
    </row>
    <row r="448" spans="2:17" x14ac:dyDescent="0.2">
      <c r="B448" s="72">
        <f t="shared" si="102"/>
        <v>440</v>
      </c>
      <c r="C448" s="12"/>
      <c r="D448" s="12"/>
      <c r="E448" s="12"/>
      <c r="F448" s="52" t="s">
        <v>269</v>
      </c>
      <c r="G448" s="12">
        <v>620</v>
      </c>
      <c r="H448" s="12" t="s">
        <v>130</v>
      </c>
      <c r="I448" s="49">
        <f>48638+6588-895</f>
        <v>54331</v>
      </c>
      <c r="J448" s="49">
        <v>54331</v>
      </c>
      <c r="K448" s="198">
        <f>J448/I448*100</f>
        <v>100</v>
      </c>
      <c r="L448" s="49"/>
      <c r="M448" s="49"/>
      <c r="N448" s="201"/>
      <c r="O448" s="49">
        <f t="shared" si="106"/>
        <v>54331</v>
      </c>
      <c r="P448" s="49">
        <f t="shared" si="107"/>
        <v>54331</v>
      </c>
      <c r="Q448" s="203">
        <f t="shared" si="110"/>
        <v>100</v>
      </c>
    </row>
    <row r="449" spans="2:17" x14ac:dyDescent="0.2">
      <c r="B449" s="72">
        <f t="shared" si="102"/>
        <v>441</v>
      </c>
      <c r="C449" s="12"/>
      <c r="D449" s="12"/>
      <c r="E449" s="12"/>
      <c r="F449" s="52" t="s">
        <v>269</v>
      </c>
      <c r="G449" s="12">
        <v>630</v>
      </c>
      <c r="H449" s="12" t="s">
        <v>127</v>
      </c>
      <c r="I449" s="49">
        <f>I454+I453+I451+I450+I452</f>
        <v>70842</v>
      </c>
      <c r="J449" s="49">
        <f>J454+J453+J451+J450+J452</f>
        <v>68918</v>
      </c>
      <c r="K449" s="198">
        <f>J449/I449*100</f>
        <v>97.28409700460179</v>
      </c>
      <c r="L449" s="49">
        <f>L454+L453+L451+L450</f>
        <v>0</v>
      </c>
      <c r="M449" s="49">
        <f>M454+M453+M451+M450</f>
        <v>0</v>
      </c>
      <c r="N449" s="201"/>
      <c r="O449" s="49">
        <f t="shared" si="106"/>
        <v>70842</v>
      </c>
      <c r="P449" s="49">
        <f t="shared" si="107"/>
        <v>68918</v>
      </c>
      <c r="Q449" s="203">
        <f t="shared" si="110"/>
        <v>97.28409700460179</v>
      </c>
    </row>
    <row r="450" spans="2:17" x14ac:dyDescent="0.2">
      <c r="B450" s="72">
        <f t="shared" si="102"/>
        <v>442</v>
      </c>
      <c r="C450" s="4"/>
      <c r="D450" s="4"/>
      <c r="E450" s="4"/>
      <c r="F450" s="53" t="s">
        <v>269</v>
      </c>
      <c r="G450" s="4">
        <v>632</v>
      </c>
      <c r="H450" s="4" t="s">
        <v>138</v>
      </c>
      <c r="I450" s="23">
        <f>24642+1000+2000+5324</f>
        <v>32966</v>
      </c>
      <c r="J450" s="23">
        <v>32869</v>
      </c>
      <c r="K450" s="198">
        <f t="shared" ref="K450:K456" si="111">J450/I450*100</f>
        <v>99.705757447066674</v>
      </c>
      <c r="L450" s="23"/>
      <c r="M450" s="23"/>
      <c r="N450" s="201"/>
      <c r="O450" s="23">
        <f t="shared" si="106"/>
        <v>32966</v>
      </c>
      <c r="P450" s="23">
        <f t="shared" si="107"/>
        <v>32869</v>
      </c>
      <c r="Q450" s="203">
        <f t="shared" ref="Q450:Q456" si="112">P450/O450*100</f>
        <v>99.705757447066674</v>
      </c>
    </row>
    <row r="451" spans="2:17" x14ac:dyDescent="0.2">
      <c r="B451" s="72">
        <f t="shared" si="102"/>
        <v>443</v>
      </c>
      <c r="C451" s="4"/>
      <c r="D451" s="4"/>
      <c r="E451" s="4"/>
      <c r="F451" s="53" t="s">
        <v>269</v>
      </c>
      <c r="G451" s="4">
        <v>633</v>
      </c>
      <c r="H451" s="4" t="s">
        <v>131</v>
      </c>
      <c r="I451" s="23">
        <f>5336+326+1997+4007</f>
        <v>11666</v>
      </c>
      <c r="J451" s="23">
        <v>9840</v>
      </c>
      <c r="K451" s="198">
        <f t="shared" si="111"/>
        <v>84.347677010114865</v>
      </c>
      <c r="L451" s="23"/>
      <c r="M451" s="23"/>
      <c r="N451" s="201"/>
      <c r="O451" s="23">
        <f t="shared" si="106"/>
        <v>11666</v>
      </c>
      <c r="P451" s="23">
        <f t="shared" si="107"/>
        <v>9840</v>
      </c>
      <c r="Q451" s="203">
        <f t="shared" si="112"/>
        <v>84.347677010114865</v>
      </c>
    </row>
    <row r="452" spans="2:17" x14ac:dyDescent="0.2">
      <c r="B452" s="72">
        <f t="shared" si="102"/>
        <v>444</v>
      </c>
      <c r="C452" s="4"/>
      <c r="D452" s="4"/>
      <c r="E452" s="4"/>
      <c r="F452" s="53" t="s">
        <v>269</v>
      </c>
      <c r="G452" s="4">
        <v>634</v>
      </c>
      <c r="H452" s="4" t="s">
        <v>136</v>
      </c>
      <c r="I452" s="23">
        <v>840</v>
      </c>
      <c r="J452" s="23">
        <v>840</v>
      </c>
      <c r="K452" s="198">
        <f t="shared" si="111"/>
        <v>100</v>
      </c>
      <c r="L452" s="23"/>
      <c r="M452" s="23"/>
      <c r="N452" s="201"/>
      <c r="O452" s="23">
        <f t="shared" si="106"/>
        <v>840</v>
      </c>
      <c r="P452" s="23">
        <f t="shared" si="107"/>
        <v>840</v>
      </c>
      <c r="Q452" s="203">
        <f t="shared" si="112"/>
        <v>100</v>
      </c>
    </row>
    <row r="453" spans="2:17" x14ac:dyDescent="0.2">
      <c r="B453" s="72">
        <f t="shared" si="102"/>
        <v>445</v>
      </c>
      <c r="C453" s="4"/>
      <c r="D453" s="4"/>
      <c r="E453" s="4"/>
      <c r="F453" s="53" t="s">
        <v>269</v>
      </c>
      <c r="G453" s="4">
        <v>635</v>
      </c>
      <c r="H453" s="4" t="s">
        <v>137</v>
      </c>
      <c r="I453" s="23">
        <f>23766-10216</f>
        <v>13550</v>
      </c>
      <c r="J453" s="23">
        <v>13550</v>
      </c>
      <c r="K453" s="198">
        <f t="shared" si="111"/>
        <v>100</v>
      </c>
      <c r="L453" s="23"/>
      <c r="M453" s="23"/>
      <c r="N453" s="201"/>
      <c r="O453" s="23">
        <f t="shared" si="106"/>
        <v>13550</v>
      </c>
      <c r="P453" s="23">
        <f t="shared" si="107"/>
        <v>13550</v>
      </c>
      <c r="Q453" s="203">
        <f t="shared" si="112"/>
        <v>100</v>
      </c>
    </row>
    <row r="454" spans="2:17" x14ac:dyDescent="0.2">
      <c r="B454" s="72">
        <f t="shared" si="102"/>
        <v>446</v>
      </c>
      <c r="C454" s="4"/>
      <c r="D454" s="4"/>
      <c r="E454" s="4"/>
      <c r="F454" s="53" t="s">
        <v>269</v>
      </c>
      <c r="G454" s="4">
        <v>637</v>
      </c>
      <c r="H454" s="4" t="s">
        <v>128</v>
      </c>
      <c r="I454" s="23">
        <f>6160+550+2910+2200</f>
        <v>11820</v>
      </c>
      <c r="J454" s="23">
        <v>11819</v>
      </c>
      <c r="K454" s="198">
        <f t="shared" si="111"/>
        <v>99.991539763113366</v>
      </c>
      <c r="L454" s="23"/>
      <c r="M454" s="23"/>
      <c r="N454" s="201"/>
      <c r="O454" s="23">
        <f t="shared" si="106"/>
        <v>11820</v>
      </c>
      <c r="P454" s="23">
        <f t="shared" si="107"/>
        <v>11819</v>
      </c>
      <c r="Q454" s="203">
        <f t="shared" si="112"/>
        <v>99.991539763113366</v>
      </c>
    </row>
    <row r="455" spans="2:17" x14ac:dyDescent="0.2">
      <c r="B455" s="72">
        <f t="shared" si="102"/>
        <v>447</v>
      </c>
      <c r="C455" s="12"/>
      <c r="D455" s="12"/>
      <c r="E455" s="12"/>
      <c r="F455" s="52" t="s">
        <v>269</v>
      </c>
      <c r="G455" s="12">
        <v>640</v>
      </c>
      <c r="H455" s="12" t="s">
        <v>134</v>
      </c>
      <c r="I455" s="49">
        <f>240-160-7</f>
        <v>73</v>
      </c>
      <c r="J455" s="49">
        <v>74</v>
      </c>
      <c r="K455" s="198">
        <f t="shared" si="111"/>
        <v>101.36986301369863</v>
      </c>
      <c r="L455" s="49"/>
      <c r="M455" s="49"/>
      <c r="N455" s="201"/>
      <c r="O455" s="49">
        <f t="shared" si="106"/>
        <v>73</v>
      </c>
      <c r="P455" s="49">
        <f t="shared" si="107"/>
        <v>74</v>
      </c>
      <c r="Q455" s="203">
        <f t="shared" si="112"/>
        <v>101.36986301369863</v>
      </c>
    </row>
    <row r="456" spans="2:17" x14ac:dyDescent="0.2">
      <c r="B456" s="72">
        <f t="shared" si="102"/>
        <v>448</v>
      </c>
      <c r="C456" s="12"/>
      <c r="D456" s="12"/>
      <c r="E456" s="12"/>
      <c r="F456" s="52" t="s">
        <v>75</v>
      </c>
      <c r="G456" s="12">
        <v>630</v>
      </c>
      <c r="H456" s="12" t="s">
        <v>646</v>
      </c>
      <c r="I456" s="49">
        <f>166+380+122</f>
        <v>668</v>
      </c>
      <c r="J456" s="49">
        <v>667</v>
      </c>
      <c r="K456" s="198">
        <f t="shared" si="111"/>
        <v>99.850299401197603</v>
      </c>
      <c r="L456" s="49"/>
      <c r="M456" s="49"/>
      <c r="N456" s="201"/>
      <c r="O456" s="49">
        <f t="shared" si="106"/>
        <v>668</v>
      </c>
      <c r="P456" s="49">
        <f t="shared" si="107"/>
        <v>667</v>
      </c>
      <c r="Q456" s="203">
        <f t="shared" si="112"/>
        <v>99.850299401197603</v>
      </c>
    </row>
    <row r="457" spans="2:17" x14ac:dyDescent="0.2">
      <c r="B457" s="72">
        <f t="shared" si="102"/>
        <v>449</v>
      </c>
      <c r="C457" s="12"/>
      <c r="D457" s="12"/>
      <c r="E457" s="12"/>
      <c r="F457" s="52"/>
      <c r="G457" s="12"/>
      <c r="H457" s="12"/>
      <c r="I457" s="49"/>
      <c r="J457" s="49"/>
      <c r="K457" s="198"/>
      <c r="L457" s="49"/>
      <c r="M457" s="49"/>
      <c r="N457" s="201"/>
      <c r="O457" s="49"/>
      <c r="P457" s="49"/>
      <c r="Q457" s="203"/>
    </row>
    <row r="458" spans="2:17" x14ac:dyDescent="0.2">
      <c r="B458" s="72">
        <f t="shared" si="102"/>
        <v>450</v>
      </c>
      <c r="C458" s="12"/>
      <c r="D458" s="12"/>
      <c r="E458" s="12"/>
      <c r="F458" s="52"/>
      <c r="G458" s="12">
        <v>630</v>
      </c>
      <c r="H458" s="12" t="s">
        <v>596</v>
      </c>
      <c r="I458" s="49">
        <v>88</v>
      </c>
      <c r="J458" s="49">
        <v>88</v>
      </c>
      <c r="K458" s="198">
        <f>J458/I458*100</f>
        <v>100</v>
      </c>
      <c r="L458" s="49"/>
      <c r="M458" s="49"/>
      <c r="N458" s="201"/>
      <c r="O458" s="49">
        <f>L458+I458</f>
        <v>88</v>
      </c>
      <c r="P458" s="49">
        <f>M458+J458</f>
        <v>88</v>
      </c>
      <c r="Q458" s="203">
        <f>P458/O458*100</f>
        <v>100</v>
      </c>
    </row>
    <row r="459" spans="2:17" x14ac:dyDescent="0.2">
      <c r="B459" s="72">
        <f t="shared" si="102"/>
        <v>451</v>
      </c>
      <c r="C459" s="12"/>
      <c r="D459" s="12"/>
      <c r="E459" s="12"/>
      <c r="F459" s="52"/>
      <c r="G459" s="155"/>
      <c r="H459" s="156"/>
      <c r="I459" s="49"/>
      <c r="J459" s="49"/>
      <c r="K459" s="198"/>
      <c r="L459" s="49"/>
      <c r="M459" s="49"/>
      <c r="N459" s="201"/>
      <c r="O459" s="49"/>
      <c r="P459" s="49"/>
      <c r="Q459" s="203"/>
    </row>
    <row r="460" spans="2:17" x14ac:dyDescent="0.2">
      <c r="B460" s="72">
        <f t="shared" si="102"/>
        <v>452</v>
      </c>
      <c r="C460" s="12"/>
      <c r="D460" s="12"/>
      <c r="E460" s="12"/>
      <c r="F460" s="82" t="s">
        <v>269</v>
      </c>
      <c r="G460" s="83">
        <v>716</v>
      </c>
      <c r="H460" s="83" t="s">
        <v>0</v>
      </c>
      <c r="I460" s="84"/>
      <c r="J460" s="84"/>
      <c r="K460" s="198"/>
      <c r="L460" s="84">
        <f>L461+L462</f>
        <v>3098</v>
      </c>
      <c r="M460" s="84">
        <f>M461+M462</f>
        <v>598</v>
      </c>
      <c r="N460" s="201">
        <f t="shared" si="109"/>
        <v>19.30277598450613</v>
      </c>
      <c r="O460" s="84">
        <f>I460+L460</f>
        <v>3098</v>
      </c>
      <c r="P460" s="84">
        <f>J460+M460</f>
        <v>598</v>
      </c>
      <c r="Q460" s="203">
        <f t="shared" ref="Q460:Q491" si="113">P460/O460*100</f>
        <v>19.30277598450613</v>
      </c>
    </row>
    <row r="461" spans="2:17" x14ac:dyDescent="0.2">
      <c r="B461" s="72">
        <f t="shared" ref="B461:B482" si="114">B460+1</f>
        <v>453</v>
      </c>
      <c r="C461" s="12"/>
      <c r="D461" s="12"/>
      <c r="E461" s="12"/>
      <c r="F461" s="53"/>
      <c r="G461" s="4"/>
      <c r="H461" s="115" t="s">
        <v>656</v>
      </c>
      <c r="I461" s="114"/>
      <c r="J461" s="114"/>
      <c r="K461" s="198"/>
      <c r="L461" s="114">
        <v>2500</v>
      </c>
      <c r="M461" s="114"/>
      <c r="N461" s="201">
        <f t="shared" si="109"/>
        <v>0</v>
      </c>
      <c r="O461" s="114">
        <f>I461+L461</f>
        <v>2500</v>
      </c>
      <c r="P461" s="114">
        <f>J461+M461</f>
        <v>0</v>
      </c>
      <c r="Q461" s="203">
        <f t="shared" si="113"/>
        <v>0</v>
      </c>
    </row>
    <row r="462" spans="2:17" x14ac:dyDescent="0.2">
      <c r="B462" s="72">
        <f t="shared" si="114"/>
        <v>454</v>
      </c>
      <c r="C462" s="12"/>
      <c r="D462" s="12"/>
      <c r="E462" s="12"/>
      <c r="F462" s="53"/>
      <c r="G462" s="4"/>
      <c r="H462" s="101" t="s">
        <v>719</v>
      </c>
      <c r="I462" s="73"/>
      <c r="J462" s="73"/>
      <c r="K462" s="198"/>
      <c r="L462" s="73">
        <v>598</v>
      </c>
      <c r="M462" s="73">
        <v>598</v>
      </c>
      <c r="N462" s="201">
        <f t="shared" si="109"/>
        <v>100</v>
      </c>
      <c r="O462" s="73">
        <f>L462</f>
        <v>598</v>
      </c>
      <c r="P462" s="73">
        <f>M462</f>
        <v>598</v>
      </c>
      <c r="Q462" s="203">
        <f t="shared" si="113"/>
        <v>100</v>
      </c>
    </row>
    <row r="463" spans="2:17" x14ac:dyDescent="0.2">
      <c r="B463" s="72">
        <f t="shared" si="114"/>
        <v>455</v>
      </c>
      <c r="C463" s="12"/>
      <c r="D463" s="12"/>
      <c r="E463" s="12"/>
      <c r="F463" s="82" t="s">
        <v>269</v>
      </c>
      <c r="G463" s="83">
        <v>717</v>
      </c>
      <c r="H463" s="83" t="s">
        <v>193</v>
      </c>
      <c r="I463" s="84"/>
      <c r="J463" s="84"/>
      <c r="K463" s="198"/>
      <c r="L463" s="84">
        <f>SUM(L464:L465)</f>
        <v>116902</v>
      </c>
      <c r="M463" s="84">
        <f>SUM(M464:M465)</f>
        <v>1680</v>
      </c>
      <c r="N463" s="201">
        <f t="shared" si="109"/>
        <v>1.4371011616567724</v>
      </c>
      <c r="O463" s="84">
        <f>L463+I463</f>
        <v>116902</v>
      </c>
      <c r="P463" s="84">
        <f>M463+J463</f>
        <v>1680</v>
      </c>
      <c r="Q463" s="203">
        <f t="shared" si="113"/>
        <v>1.4371011616567724</v>
      </c>
    </row>
    <row r="464" spans="2:17" x14ac:dyDescent="0.2">
      <c r="B464" s="72">
        <f t="shared" si="114"/>
        <v>456</v>
      </c>
      <c r="C464" s="12"/>
      <c r="D464" s="12"/>
      <c r="E464" s="12"/>
      <c r="F464" s="53"/>
      <c r="G464" s="4"/>
      <c r="H464" s="4" t="s">
        <v>649</v>
      </c>
      <c r="I464" s="23"/>
      <c r="J464" s="23"/>
      <c r="K464" s="198"/>
      <c r="L464" s="23">
        <f>60000-598</f>
        <v>59402</v>
      </c>
      <c r="M464" s="23"/>
      <c r="N464" s="201">
        <f t="shared" si="109"/>
        <v>0</v>
      </c>
      <c r="O464" s="23">
        <f>L464+I464</f>
        <v>59402</v>
      </c>
      <c r="P464" s="23">
        <f>M464+J464</f>
        <v>0</v>
      </c>
      <c r="Q464" s="203">
        <f t="shared" si="113"/>
        <v>0</v>
      </c>
    </row>
    <row r="465" spans="2:17" x14ac:dyDescent="0.2">
      <c r="B465" s="72">
        <f t="shared" si="114"/>
        <v>457</v>
      </c>
      <c r="C465" s="12"/>
      <c r="D465" s="57"/>
      <c r="E465" s="155"/>
      <c r="F465" s="158"/>
      <c r="G465" s="159"/>
      <c r="H465" s="115" t="s">
        <v>657</v>
      </c>
      <c r="I465" s="114"/>
      <c r="J465" s="114"/>
      <c r="K465" s="198"/>
      <c r="L465" s="114">
        <v>57500</v>
      </c>
      <c r="M465" s="114">
        <f>1680</f>
        <v>1680</v>
      </c>
      <c r="N465" s="201">
        <f t="shared" si="109"/>
        <v>2.9217391304347826</v>
      </c>
      <c r="O465" s="114">
        <f>I465+L465</f>
        <v>57500</v>
      </c>
      <c r="P465" s="114">
        <f>J465+M465</f>
        <v>1680</v>
      </c>
      <c r="Q465" s="203">
        <f t="shared" si="113"/>
        <v>2.9217391304347826</v>
      </c>
    </row>
    <row r="466" spans="2:17" ht="15" x14ac:dyDescent="0.2">
      <c r="B466" s="72">
        <f t="shared" si="114"/>
        <v>458</v>
      </c>
      <c r="C466" s="179">
        <v>3</v>
      </c>
      <c r="D466" s="257" t="s">
        <v>164</v>
      </c>
      <c r="E466" s="253"/>
      <c r="F466" s="253"/>
      <c r="G466" s="253"/>
      <c r="H466" s="254"/>
      <c r="I466" s="45">
        <f>I467+I475+I486+I493+I501+I509+I518+I526+I533+I549+I556+I541</f>
        <v>2040441</v>
      </c>
      <c r="J466" s="45">
        <f>J467+J475+J486+J493+J501+J509+J518+J526+J533+J549+J556+J541</f>
        <v>2030012</v>
      </c>
      <c r="K466" s="198">
        <f t="shared" ref="K466:K497" si="115">J466/I466*100</f>
        <v>99.488885000840511</v>
      </c>
      <c r="L466" s="45">
        <f>L467+L475+L486+L493+L501+L509+L518+L526+L533+L549+L556+L541</f>
        <v>4000</v>
      </c>
      <c r="M466" s="45">
        <f>M467+M475+M486+M493+M501+M509+M518+M526+M533+M549+M556+M541</f>
        <v>4000</v>
      </c>
      <c r="N466" s="203">
        <f t="shared" si="109"/>
        <v>100</v>
      </c>
      <c r="O466" s="45">
        <f t="shared" ref="O466:O497" si="116">L466+I466</f>
        <v>2044441</v>
      </c>
      <c r="P466" s="45">
        <f t="shared" ref="P466:P497" si="117">M466+J466</f>
        <v>2034012</v>
      </c>
      <c r="Q466" s="203">
        <f t="shared" si="113"/>
        <v>99.489885010132355</v>
      </c>
    </row>
    <row r="467" spans="2:17" x14ac:dyDescent="0.2">
      <c r="B467" s="72">
        <f t="shared" si="114"/>
        <v>459</v>
      </c>
      <c r="C467" s="12"/>
      <c r="D467" s="12"/>
      <c r="E467" s="12"/>
      <c r="F467" s="52" t="s">
        <v>163</v>
      </c>
      <c r="G467" s="12">
        <v>640</v>
      </c>
      <c r="H467" s="12" t="s">
        <v>134</v>
      </c>
      <c r="I467" s="49">
        <f>SUM(I468:I474)</f>
        <v>396065</v>
      </c>
      <c r="J467" s="49">
        <f>SUM(J468:J474)</f>
        <v>396065</v>
      </c>
      <c r="K467" s="198">
        <f t="shared" si="115"/>
        <v>100</v>
      </c>
      <c r="L467" s="49"/>
      <c r="M467" s="49"/>
      <c r="N467" s="201"/>
      <c r="O467" s="49">
        <f t="shared" si="116"/>
        <v>396065</v>
      </c>
      <c r="P467" s="49">
        <f t="shared" si="117"/>
        <v>396065</v>
      </c>
      <c r="Q467" s="203">
        <f t="shared" si="113"/>
        <v>100</v>
      </c>
    </row>
    <row r="468" spans="2:17" x14ac:dyDescent="0.2">
      <c r="B468" s="72">
        <f t="shared" si="114"/>
        <v>460</v>
      </c>
      <c r="C468" s="12"/>
      <c r="D468" s="12"/>
      <c r="E468" s="12"/>
      <c r="F468" s="52"/>
      <c r="G468" s="12"/>
      <c r="H468" s="60" t="s">
        <v>370</v>
      </c>
      <c r="I468" s="58">
        <v>11056</v>
      </c>
      <c r="J468" s="58">
        <v>11056</v>
      </c>
      <c r="K468" s="198">
        <f t="shared" si="115"/>
        <v>100</v>
      </c>
      <c r="L468" s="58"/>
      <c r="M468" s="58"/>
      <c r="N468" s="201"/>
      <c r="O468" s="58">
        <f t="shared" si="116"/>
        <v>11056</v>
      </c>
      <c r="P468" s="58">
        <f t="shared" si="117"/>
        <v>11056</v>
      </c>
      <c r="Q468" s="203">
        <f t="shared" si="113"/>
        <v>100</v>
      </c>
    </row>
    <row r="469" spans="2:17" x14ac:dyDescent="0.2">
      <c r="B469" s="72">
        <f t="shared" si="114"/>
        <v>461</v>
      </c>
      <c r="C469" s="12"/>
      <c r="D469" s="12"/>
      <c r="E469" s="12"/>
      <c r="F469" s="52"/>
      <c r="G469" s="12"/>
      <c r="H469" s="60" t="s">
        <v>167</v>
      </c>
      <c r="I469" s="58">
        <v>9852</v>
      </c>
      <c r="J469" s="58">
        <v>9852</v>
      </c>
      <c r="K469" s="198">
        <f t="shared" si="115"/>
        <v>100</v>
      </c>
      <c r="L469" s="58"/>
      <c r="M469" s="58"/>
      <c r="N469" s="201"/>
      <c r="O469" s="58">
        <f t="shared" si="116"/>
        <v>9852</v>
      </c>
      <c r="P469" s="58">
        <f t="shared" si="117"/>
        <v>9852</v>
      </c>
      <c r="Q469" s="203">
        <f t="shared" si="113"/>
        <v>100</v>
      </c>
    </row>
    <row r="470" spans="2:17" x14ac:dyDescent="0.2">
      <c r="B470" s="72">
        <f t="shared" si="114"/>
        <v>462</v>
      </c>
      <c r="C470" s="12"/>
      <c r="D470" s="12"/>
      <c r="E470" s="12"/>
      <c r="F470" s="52"/>
      <c r="G470" s="12"/>
      <c r="H470" s="60" t="s">
        <v>371</v>
      </c>
      <c r="I470" s="58">
        <v>16092</v>
      </c>
      <c r="J470" s="58">
        <v>16092</v>
      </c>
      <c r="K470" s="198">
        <f t="shared" si="115"/>
        <v>100</v>
      </c>
      <c r="L470" s="58"/>
      <c r="M470" s="58"/>
      <c r="N470" s="201"/>
      <c r="O470" s="58">
        <f t="shared" si="116"/>
        <v>16092</v>
      </c>
      <c r="P470" s="58">
        <f t="shared" si="117"/>
        <v>16092</v>
      </c>
      <c r="Q470" s="203">
        <f t="shared" si="113"/>
        <v>100</v>
      </c>
    </row>
    <row r="471" spans="2:17" x14ac:dyDescent="0.2">
      <c r="B471" s="72">
        <f t="shared" si="114"/>
        <v>463</v>
      </c>
      <c r="C471" s="12"/>
      <c r="D471" s="12"/>
      <c r="E471" s="12"/>
      <c r="F471" s="52"/>
      <c r="G471" s="12"/>
      <c r="H471" s="60" t="s">
        <v>372</v>
      </c>
      <c r="I471" s="58">
        <v>11990</v>
      </c>
      <c r="J471" s="58">
        <v>11990</v>
      </c>
      <c r="K471" s="198">
        <f t="shared" si="115"/>
        <v>100</v>
      </c>
      <c r="L471" s="58"/>
      <c r="M471" s="58"/>
      <c r="N471" s="201"/>
      <c r="O471" s="58">
        <f t="shared" si="116"/>
        <v>11990</v>
      </c>
      <c r="P471" s="58">
        <f t="shared" si="117"/>
        <v>11990</v>
      </c>
      <c r="Q471" s="203">
        <f t="shared" si="113"/>
        <v>100</v>
      </c>
    </row>
    <row r="472" spans="2:17" x14ac:dyDescent="0.2">
      <c r="B472" s="72">
        <f t="shared" si="114"/>
        <v>464</v>
      </c>
      <c r="C472" s="12"/>
      <c r="D472" s="12"/>
      <c r="E472" s="12"/>
      <c r="F472" s="52"/>
      <c r="G472" s="12"/>
      <c r="H472" s="60" t="s">
        <v>373</v>
      </c>
      <c r="I472" s="58">
        <v>150500</v>
      </c>
      <c r="J472" s="58">
        <v>150500</v>
      </c>
      <c r="K472" s="198">
        <f t="shared" si="115"/>
        <v>100</v>
      </c>
      <c r="L472" s="58"/>
      <c r="M472" s="58"/>
      <c r="N472" s="201"/>
      <c r="O472" s="58">
        <f t="shared" si="116"/>
        <v>150500</v>
      </c>
      <c r="P472" s="58">
        <f t="shared" si="117"/>
        <v>150500</v>
      </c>
      <c r="Q472" s="203">
        <f t="shared" si="113"/>
        <v>100</v>
      </c>
    </row>
    <row r="473" spans="2:17" x14ac:dyDescent="0.2">
      <c r="B473" s="72">
        <f t="shared" si="114"/>
        <v>465</v>
      </c>
      <c r="C473" s="12"/>
      <c r="D473" s="12"/>
      <c r="E473" s="12"/>
      <c r="F473" s="52"/>
      <c r="G473" s="12"/>
      <c r="H473" s="60" t="s">
        <v>406</v>
      </c>
      <c r="I473" s="58">
        <v>193291</v>
      </c>
      <c r="J473" s="58">
        <v>193291</v>
      </c>
      <c r="K473" s="198">
        <f t="shared" si="115"/>
        <v>100</v>
      </c>
      <c r="L473" s="58"/>
      <c r="M473" s="58"/>
      <c r="N473" s="201"/>
      <c r="O473" s="58">
        <f t="shared" si="116"/>
        <v>193291</v>
      </c>
      <c r="P473" s="58">
        <f t="shared" si="117"/>
        <v>193291</v>
      </c>
      <c r="Q473" s="203">
        <f t="shared" si="113"/>
        <v>100</v>
      </c>
    </row>
    <row r="474" spans="2:17" x14ac:dyDescent="0.2">
      <c r="B474" s="72">
        <f t="shared" si="114"/>
        <v>466</v>
      </c>
      <c r="C474" s="12"/>
      <c r="D474" s="12"/>
      <c r="E474" s="12"/>
      <c r="F474" s="52"/>
      <c r="G474" s="12"/>
      <c r="H474" s="60" t="s">
        <v>292</v>
      </c>
      <c r="I474" s="58">
        <v>3284</v>
      </c>
      <c r="J474" s="58">
        <v>3284</v>
      </c>
      <c r="K474" s="198">
        <f t="shared" si="115"/>
        <v>100</v>
      </c>
      <c r="L474" s="58"/>
      <c r="M474" s="58"/>
      <c r="N474" s="201"/>
      <c r="O474" s="58">
        <f t="shared" si="116"/>
        <v>3284</v>
      </c>
      <c r="P474" s="58">
        <f t="shared" si="117"/>
        <v>3284</v>
      </c>
      <c r="Q474" s="203">
        <f t="shared" si="113"/>
        <v>100</v>
      </c>
    </row>
    <row r="475" spans="2:17" ht="15" x14ac:dyDescent="0.25">
      <c r="B475" s="72">
        <f t="shared" si="114"/>
        <v>467</v>
      </c>
      <c r="C475" s="15"/>
      <c r="D475" s="15"/>
      <c r="E475" s="15">
        <v>1</v>
      </c>
      <c r="F475" s="50"/>
      <c r="G475" s="15"/>
      <c r="H475" s="15" t="s">
        <v>312</v>
      </c>
      <c r="I475" s="47">
        <f>I476+I477+I478+I485</f>
        <v>124946</v>
      </c>
      <c r="J475" s="47">
        <f>J476+J477+J478+J485</f>
        <v>124927</v>
      </c>
      <c r="K475" s="198">
        <f t="shared" si="115"/>
        <v>99.984793430762082</v>
      </c>
      <c r="L475" s="47">
        <v>0</v>
      </c>
      <c r="M475" s="47"/>
      <c r="N475" s="201"/>
      <c r="O475" s="47">
        <f t="shared" si="116"/>
        <v>124946</v>
      </c>
      <c r="P475" s="47">
        <f t="shared" si="117"/>
        <v>124927</v>
      </c>
      <c r="Q475" s="203">
        <f t="shared" si="113"/>
        <v>99.984793430762082</v>
      </c>
    </row>
    <row r="476" spans="2:17" x14ac:dyDescent="0.2">
      <c r="B476" s="72">
        <f t="shared" si="114"/>
        <v>468</v>
      </c>
      <c r="C476" s="12"/>
      <c r="D476" s="12"/>
      <c r="E476" s="12"/>
      <c r="F476" s="52" t="s">
        <v>163</v>
      </c>
      <c r="G476" s="12">
        <v>610</v>
      </c>
      <c r="H476" s="12" t="s">
        <v>135</v>
      </c>
      <c r="I476" s="49">
        <f>60321+2000+1900-200</f>
        <v>64021</v>
      </c>
      <c r="J476" s="49">
        <f>1900+4965+51983+1310+3862</f>
        <v>64020</v>
      </c>
      <c r="K476" s="198">
        <f t="shared" si="115"/>
        <v>99.998438012527131</v>
      </c>
      <c r="L476" s="49"/>
      <c r="M476" s="49"/>
      <c r="N476" s="201"/>
      <c r="O476" s="49">
        <f t="shared" si="116"/>
        <v>64021</v>
      </c>
      <c r="P476" s="49">
        <f t="shared" si="117"/>
        <v>64020</v>
      </c>
      <c r="Q476" s="203">
        <f t="shared" si="113"/>
        <v>99.998438012527131</v>
      </c>
    </row>
    <row r="477" spans="2:17" x14ac:dyDescent="0.2">
      <c r="B477" s="72">
        <f t="shared" si="114"/>
        <v>469</v>
      </c>
      <c r="C477" s="12"/>
      <c r="D477" s="12"/>
      <c r="E477" s="12"/>
      <c r="F477" s="52" t="s">
        <v>163</v>
      </c>
      <c r="G477" s="12">
        <v>620</v>
      </c>
      <c r="H477" s="12" t="s">
        <v>130</v>
      </c>
      <c r="I477" s="49">
        <f>20947+1600+1000-706</f>
        <v>22841</v>
      </c>
      <c r="J477" s="49">
        <f>71+8+838+9+21+47+2773+2269+945+9291+570+1962+648+3389</f>
        <v>22841</v>
      </c>
      <c r="K477" s="198">
        <f t="shared" si="115"/>
        <v>100</v>
      </c>
      <c r="L477" s="49"/>
      <c r="M477" s="49"/>
      <c r="N477" s="201"/>
      <c r="O477" s="49">
        <f t="shared" si="116"/>
        <v>22841</v>
      </c>
      <c r="P477" s="49">
        <f t="shared" si="117"/>
        <v>22841</v>
      </c>
      <c r="Q477" s="203">
        <f t="shared" si="113"/>
        <v>100</v>
      </c>
    </row>
    <row r="478" spans="2:17" x14ac:dyDescent="0.2">
      <c r="B478" s="72">
        <f t="shared" si="114"/>
        <v>470</v>
      </c>
      <c r="C478" s="12"/>
      <c r="D478" s="12"/>
      <c r="E478" s="12"/>
      <c r="F478" s="52" t="s">
        <v>163</v>
      </c>
      <c r="G478" s="12">
        <v>630</v>
      </c>
      <c r="H478" s="12" t="s">
        <v>127</v>
      </c>
      <c r="I478" s="49">
        <f>I484+I483+I481+I480+I479+I482</f>
        <v>37468</v>
      </c>
      <c r="J478" s="49">
        <f>J484+J483+J481+J480+J479+J482</f>
        <v>37450</v>
      </c>
      <c r="K478" s="198">
        <f t="shared" si="115"/>
        <v>99.951959005017613</v>
      </c>
      <c r="L478" s="49">
        <f>L484+L483+L481+L480+L479</f>
        <v>0</v>
      </c>
      <c r="M478" s="49">
        <f>M484+M483+M481+M480+M479</f>
        <v>0</v>
      </c>
      <c r="N478" s="201"/>
      <c r="O478" s="49">
        <f t="shared" si="116"/>
        <v>37468</v>
      </c>
      <c r="P478" s="49">
        <f t="shared" si="117"/>
        <v>37450</v>
      </c>
      <c r="Q478" s="203">
        <f t="shared" si="113"/>
        <v>99.951959005017613</v>
      </c>
    </row>
    <row r="479" spans="2:17" x14ac:dyDescent="0.2">
      <c r="B479" s="72">
        <f t="shared" si="114"/>
        <v>471</v>
      </c>
      <c r="C479" s="4"/>
      <c r="D479" s="4"/>
      <c r="E479" s="4"/>
      <c r="F479" s="53" t="s">
        <v>163</v>
      </c>
      <c r="G479" s="4">
        <v>631</v>
      </c>
      <c r="H479" s="4" t="s">
        <v>133</v>
      </c>
      <c r="I479" s="23">
        <f>500-300-189</f>
        <v>11</v>
      </c>
      <c r="J479" s="23">
        <v>11</v>
      </c>
      <c r="K479" s="198">
        <f t="shared" si="115"/>
        <v>100</v>
      </c>
      <c r="L479" s="23"/>
      <c r="M479" s="23"/>
      <c r="N479" s="201"/>
      <c r="O479" s="23">
        <f t="shared" si="116"/>
        <v>11</v>
      </c>
      <c r="P479" s="23">
        <f t="shared" si="117"/>
        <v>11</v>
      </c>
      <c r="Q479" s="203">
        <f t="shared" si="113"/>
        <v>100</v>
      </c>
    </row>
    <row r="480" spans="2:17" x14ac:dyDescent="0.2">
      <c r="B480" s="72">
        <f t="shared" si="114"/>
        <v>472</v>
      </c>
      <c r="C480" s="4"/>
      <c r="D480" s="4"/>
      <c r="E480" s="4"/>
      <c r="F480" s="53" t="s">
        <v>163</v>
      </c>
      <c r="G480" s="4">
        <v>632</v>
      </c>
      <c r="H480" s="4" t="s">
        <v>138</v>
      </c>
      <c r="I480" s="23">
        <f>6300+300+742</f>
        <v>7342</v>
      </c>
      <c r="J480" s="23">
        <v>7342</v>
      </c>
      <c r="K480" s="198">
        <f t="shared" si="115"/>
        <v>100</v>
      </c>
      <c r="L480" s="23"/>
      <c r="M480" s="23"/>
      <c r="N480" s="201"/>
      <c r="O480" s="23">
        <f t="shared" si="116"/>
        <v>7342</v>
      </c>
      <c r="P480" s="23">
        <f t="shared" si="117"/>
        <v>7342</v>
      </c>
      <c r="Q480" s="203">
        <f t="shared" si="113"/>
        <v>100</v>
      </c>
    </row>
    <row r="481" spans="2:17" x14ac:dyDescent="0.2">
      <c r="B481" s="72">
        <f t="shared" si="114"/>
        <v>473</v>
      </c>
      <c r="C481" s="4"/>
      <c r="D481" s="4"/>
      <c r="E481" s="4"/>
      <c r="F481" s="53" t="s">
        <v>163</v>
      </c>
      <c r="G481" s="4">
        <v>633</v>
      </c>
      <c r="H481" s="4" t="s">
        <v>131</v>
      </c>
      <c r="I481" s="23">
        <f>5243+1794+758</f>
        <v>7795</v>
      </c>
      <c r="J481" s="23">
        <v>7795</v>
      </c>
      <c r="K481" s="198">
        <f t="shared" si="115"/>
        <v>100</v>
      </c>
      <c r="L481" s="23"/>
      <c r="M481" s="23"/>
      <c r="N481" s="201"/>
      <c r="O481" s="23">
        <f t="shared" si="116"/>
        <v>7795</v>
      </c>
      <c r="P481" s="23">
        <f t="shared" si="117"/>
        <v>7795</v>
      </c>
      <c r="Q481" s="203">
        <f t="shared" si="113"/>
        <v>100</v>
      </c>
    </row>
    <row r="482" spans="2:17" x14ac:dyDescent="0.2">
      <c r="B482" s="72">
        <f t="shared" si="114"/>
        <v>474</v>
      </c>
      <c r="C482" s="4"/>
      <c r="D482" s="4"/>
      <c r="E482" s="4"/>
      <c r="F482" s="53" t="s">
        <v>163</v>
      </c>
      <c r="G482" s="4">
        <v>634</v>
      </c>
      <c r="H482" s="4" t="s">
        <v>136</v>
      </c>
      <c r="I482" s="23">
        <f>200+265</f>
        <v>465</v>
      </c>
      <c r="J482" s="23">
        <v>465</v>
      </c>
      <c r="K482" s="198">
        <f t="shared" si="115"/>
        <v>100</v>
      </c>
      <c r="L482" s="23"/>
      <c r="M482" s="23"/>
      <c r="N482" s="201"/>
      <c r="O482" s="23">
        <f t="shared" si="116"/>
        <v>465</v>
      </c>
      <c r="P482" s="23">
        <f t="shared" si="117"/>
        <v>465</v>
      </c>
      <c r="Q482" s="203">
        <f t="shared" si="113"/>
        <v>100</v>
      </c>
    </row>
    <row r="483" spans="2:17" x14ac:dyDescent="0.2">
      <c r="B483" s="72">
        <f t="shared" ref="B483:B545" si="118">B482+1</f>
        <v>475</v>
      </c>
      <c r="C483" s="4"/>
      <c r="D483" s="4"/>
      <c r="E483" s="4"/>
      <c r="F483" s="53" t="s">
        <v>163</v>
      </c>
      <c r="G483" s="4">
        <v>635</v>
      </c>
      <c r="H483" s="4" t="s">
        <v>137</v>
      </c>
      <c r="I483" s="23">
        <f>435+3500-384</f>
        <v>3551</v>
      </c>
      <c r="J483" s="23">
        <v>3551</v>
      </c>
      <c r="K483" s="198">
        <f t="shared" si="115"/>
        <v>100</v>
      </c>
      <c r="L483" s="23"/>
      <c r="M483" s="23"/>
      <c r="N483" s="201"/>
      <c r="O483" s="23">
        <f t="shared" si="116"/>
        <v>3551</v>
      </c>
      <c r="P483" s="23">
        <f t="shared" si="117"/>
        <v>3551</v>
      </c>
      <c r="Q483" s="203">
        <f t="shared" si="113"/>
        <v>100</v>
      </c>
    </row>
    <row r="484" spans="2:17" x14ac:dyDescent="0.2">
      <c r="B484" s="72">
        <f t="shared" si="118"/>
        <v>476</v>
      </c>
      <c r="C484" s="4"/>
      <c r="D484" s="4"/>
      <c r="E484" s="4"/>
      <c r="F484" s="53" t="s">
        <v>163</v>
      </c>
      <c r="G484" s="4">
        <v>637</v>
      </c>
      <c r="H484" s="4" t="s">
        <v>128</v>
      </c>
      <c r="I484" s="23">
        <f>10279+2500+2900+3127-502</f>
        <v>18304</v>
      </c>
      <c r="J484" s="23">
        <v>18286</v>
      </c>
      <c r="K484" s="198">
        <f t="shared" si="115"/>
        <v>99.90166083916084</v>
      </c>
      <c r="L484" s="23"/>
      <c r="M484" s="23"/>
      <c r="N484" s="201"/>
      <c r="O484" s="23">
        <f t="shared" si="116"/>
        <v>18304</v>
      </c>
      <c r="P484" s="23">
        <f t="shared" si="117"/>
        <v>18286</v>
      </c>
      <c r="Q484" s="203">
        <f t="shared" si="113"/>
        <v>99.90166083916084</v>
      </c>
    </row>
    <row r="485" spans="2:17" x14ac:dyDescent="0.2">
      <c r="B485" s="72">
        <f t="shared" si="118"/>
        <v>477</v>
      </c>
      <c r="C485" s="12"/>
      <c r="D485" s="12"/>
      <c r="E485" s="12"/>
      <c r="F485" s="52" t="s">
        <v>163</v>
      </c>
      <c r="G485" s="12">
        <v>640</v>
      </c>
      <c r="H485" s="12" t="s">
        <v>134</v>
      </c>
      <c r="I485" s="49">
        <f>400+216</f>
        <v>616</v>
      </c>
      <c r="J485" s="49">
        <v>616</v>
      </c>
      <c r="K485" s="198">
        <f t="shared" si="115"/>
        <v>100</v>
      </c>
      <c r="L485" s="49"/>
      <c r="M485" s="49"/>
      <c r="N485" s="201"/>
      <c r="O485" s="49">
        <f t="shared" si="116"/>
        <v>616</v>
      </c>
      <c r="P485" s="49">
        <f t="shared" si="117"/>
        <v>616</v>
      </c>
      <c r="Q485" s="203">
        <f t="shared" si="113"/>
        <v>100</v>
      </c>
    </row>
    <row r="486" spans="2:17" ht="15" x14ac:dyDescent="0.25">
      <c r="B486" s="72">
        <f t="shared" si="118"/>
        <v>478</v>
      </c>
      <c r="C486" s="15"/>
      <c r="D486" s="15"/>
      <c r="E486" s="15">
        <v>4</v>
      </c>
      <c r="F486" s="50"/>
      <c r="G486" s="15"/>
      <c r="H486" s="15" t="s">
        <v>84</v>
      </c>
      <c r="I486" s="47">
        <f>I487+I488+I489</f>
        <v>12963</v>
      </c>
      <c r="J486" s="47">
        <f>J487+J488+J489</f>
        <v>12961</v>
      </c>
      <c r="K486" s="198">
        <f t="shared" si="115"/>
        <v>99.984571472652945</v>
      </c>
      <c r="L486" s="47">
        <f>L487+L488+L489</f>
        <v>0</v>
      </c>
      <c r="M486" s="47">
        <f>M487+M488+M489</f>
        <v>0</v>
      </c>
      <c r="N486" s="201"/>
      <c r="O486" s="47">
        <f t="shared" si="116"/>
        <v>12963</v>
      </c>
      <c r="P486" s="47">
        <f t="shared" si="117"/>
        <v>12961</v>
      </c>
      <c r="Q486" s="203">
        <f t="shared" si="113"/>
        <v>99.984571472652945</v>
      </c>
    </row>
    <row r="487" spans="2:17" x14ac:dyDescent="0.2">
      <c r="B487" s="72">
        <f t="shared" si="118"/>
        <v>479</v>
      </c>
      <c r="C487" s="12"/>
      <c r="D487" s="12"/>
      <c r="E487" s="12"/>
      <c r="F487" s="52" t="s">
        <v>163</v>
      </c>
      <c r="G487" s="12">
        <v>610</v>
      </c>
      <c r="H487" s="12" t="s">
        <v>135</v>
      </c>
      <c r="I487" s="49">
        <v>8671</v>
      </c>
      <c r="J487" s="49">
        <v>8671</v>
      </c>
      <c r="K487" s="198">
        <f t="shared" si="115"/>
        <v>100</v>
      </c>
      <c r="L487" s="49"/>
      <c r="M487" s="49"/>
      <c r="N487" s="201"/>
      <c r="O487" s="49">
        <f t="shared" si="116"/>
        <v>8671</v>
      </c>
      <c r="P487" s="49">
        <f t="shared" si="117"/>
        <v>8671</v>
      </c>
      <c r="Q487" s="203">
        <f t="shared" si="113"/>
        <v>100</v>
      </c>
    </row>
    <row r="488" spans="2:17" x14ac:dyDescent="0.2">
      <c r="B488" s="72">
        <f t="shared" si="118"/>
        <v>480</v>
      </c>
      <c r="C488" s="12"/>
      <c r="D488" s="12"/>
      <c r="E488" s="12"/>
      <c r="F488" s="52" t="s">
        <v>163</v>
      </c>
      <c r="G488" s="12">
        <v>620</v>
      </c>
      <c r="H488" s="12" t="s">
        <v>130</v>
      </c>
      <c r="I488" s="49">
        <v>3222</v>
      </c>
      <c r="J488" s="49">
        <v>3222</v>
      </c>
      <c r="K488" s="198">
        <f t="shared" si="115"/>
        <v>100</v>
      </c>
      <c r="L488" s="49"/>
      <c r="M488" s="49"/>
      <c r="N488" s="201"/>
      <c r="O488" s="49">
        <f t="shared" si="116"/>
        <v>3222</v>
      </c>
      <c r="P488" s="49">
        <f t="shared" si="117"/>
        <v>3222</v>
      </c>
      <c r="Q488" s="203">
        <f t="shared" si="113"/>
        <v>100</v>
      </c>
    </row>
    <row r="489" spans="2:17" x14ac:dyDescent="0.2">
      <c r="B489" s="72">
        <f t="shared" si="118"/>
        <v>481</v>
      </c>
      <c r="C489" s="12"/>
      <c r="D489" s="12"/>
      <c r="E489" s="12"/>
      <c r="F489" s="52" t="s">
        <v>163</v>
      </c>
      <c r="G489" s="12">
        <v>630</v>
      </c>
      <c r="H489" s="12" t="s">
        <v>127</v>
      </c>
      <c r="I489" s="49">
        <f>I492+I491+I490</f>
        <v>1070</v>
      </c>
      <c r="J489" s="49">
        <f>J492+J491+J490</f>
        <v>1068</v>
      </c>
      <c r="K489" s="198">
        <f t="shared" si="115"/>
        <v>99.813084112149525</v>
      </c>
      <c r="L489" s="49">
        <f>L492+L491+L490</f>
        <v>0</v>
      </c>
      <c r="M489" s="49">
        <f>M492+M491+M490</f>
        <v>0</v>
      </c>
      <c r="N489" s="201"/>
      <c r="O489" s="49">
        <f t="shared" si="116"/>
        <v>1070</v>
      </c>
      <c r="P489" s="49">
        <f t="shared" si="117"/>
        <v>1068</v>
      </c>
      <c r="Q489" s="203">
        <f t="shared" si="113"/>
        <v>99.813084112149525</v>
      </c>
    </row>
    <row r="490" spans="2:17" x14ac:dyDescent="0.2">
      <c r="B490" s="72">
        <f t="shared" si="118"/>
        <v>482</v>
      </c>
      <c r="C490" s="4"/>
      <c r="D490" s="4"/>
      <c r="E490" s="4"/>
      <c r="F490" s="53" t="s">
        <v>163</v>
      </c>
      <c r="G490" s="4">
        <v>632</v>
      </c>
      <c r="H490" s="4" t="s">
        <v>138</v>
      </c>
      <c r="I490" s="23">
        <v>550</v>
      </c>
      <c r="J490" s="23">
        <v>550</v>
      </c>
      <c r="K490" s="198">
        <f t="shared" si="115"/>
        <v>100</v>
      </c>
      <c r="L490" s="23"/>
      <c r="M490" s="23"/>
      <c r="N490" s="201"/>
      <c r="O490" s="23">
        <f t="shared" si="116"/>
        <v>550</v>
      </c>
      <c r="P490" s="23">
        <f t="shared" si="117"/>
        <v>550</v>
      </c>
      <c r="Q490" s="203">
        <f t="shared" si="113"/>
        <v>100</v>
      </c>
    </row>
    <row r="491" spans="2:17" x14ac:dyDescent="0.2">
      <c r="B491" s="72">
        <f t="shared" si="118"/>
        <v>483</v>
      </c>
      <c r="C491" s="4"/>
      <c r="D491" s="4"/>
      <c r="E491" s="4"/>
      <c r="F491" s="53" t="s">
        <v>163</v>
      </c>
      <c r="G491" s="4">
        <v>633</v>
      </c>
      <c r="H491" s="4" t="s">
        <v>131</v>
      </c>
      <c r="I491" s="23">
        <v>400</v>
      </c>
      <c r="J491" s="23">
        <v>400</v>
      </c>
      <c r="K491" s="198">
        <f t="shared" si="115"/>
        <v>100</v>
      </c>
      <c r="L491" s="23"/>
      <c r="M491" s="23"/>
      <c r="N491" s="201"/>
      <c r="O491" s="23">
        <f t="shared" si="116"/>
        <v>400</v>
      </c>
      <c r="P491" s="23">
        <f t="shared" si="117"/>
        <v>400</v>
      </c>
      <c r="Q491" s="203">
        <f t="shared" si="113"/>
        <v>100</v>
      </c>
    </row>
    <row r="492" spans="2:17" x14ac:dyDescent="0.2">
      <c r="B492" s="72">
        <f t="shared" si="118"/>
        <v>484</v>
      </c>
      <c r="C492" s="4"/>
      <c r="D492" s="4"/>
      <c r="E492" s="4"/>
      <c r="F492" s="53" t="s">
        <v>163</v>
      </c>
      <c r="G492" s="4">
        <v>637</v>
      </c>
      <c r="H492" s="4" t="s">
        <v>128</v>
      </c>
      <c r="I492" s="23">
        <v>120</v>
      </c>
      <c r="J492" s="23">
        <v>118</v>
      </c>
      <c r="K492" s="198">
        <f t="shared" si="115"/>
        <v>98.333333333333329</v>
      </c>
      <c r="L492" s="23"/>
      <c r="M492" s="23"/>
      <c r="N492" s="201"/>
      <c r="O492" s="23">
        <f t="shared" si="116"/>
        <v>120</v>
      </c>
      <c r="P492" s="23">
        <f t="shared" si="117"/>
        <v>118</v>
      </c>
      <c r="Q492" s="203">
        <f t="shared" ref="Q492:Q514" si="119">P492/O492*100</f>
        <v>98.333333333333329</v>
      </c>
    </row>
    <row r="493" spans="2:17" ht="15" x14ac:dyDescent="0.25">
      <c r="B493" s="72">
        <f t="shared" si="118"/>
        <v>485</v>
      </c>
      <c r="C493" s="15"/>
      <c r="D493" s="15"/>
      <c r="E493" s="15">
        <v>6</v>
      </c>
      <c r="F493" s="50"/>
      <c r="G493" s="15"/>
      <c r="H493" s="15" t="s">
        <v>81</v>
      </c>
      <c r="I493" s="47">
        <f>I494+I495+I496+I500</f>
        <v>81022</v>
      </c>
      <c r="J493" s="47">
        <f>J494+J495+J496+J500</f>
        <v>81022</v>
      </c>
      <c r="K493" s="198">
        <f t="shared" si="115"/>
        <v>100</v>
      </c>
      <c r="L493" s="47">
        <f>L494+L495+L496+L500</f>
        <v>0</v>
      </c>
      <c r="M493" s="47">
        <f>M494+M495+M496+M500</f>
        <v>0</v>
      </c>
      <c r="N493" s="201"/>
      <c r="O493" s="47">
        <f t="shared" si="116"/>
        <v>81022</v>
      </c>
      <c r="P493" s="47">
        <f t="shared" si="117"/>
        <v>81022</v>
      </c>
      <c r="Q493" s="203">
        <f t="shared" si="119"/>
        <v>100</v>
      </c>
    </row>
    <row r="494" spans="2:17" x14ac:dyDescent="0.2">
      <c r="B494" s="72">
        <f t="shared" si="118"/>
        <v>486</v>
      </c>
      <c r="C494" s="12"/>
      <c r="D494" s="12"/>
      <c r="E494" s="12"/>
      <c r="F494" s="52" t="s">
        <v>163</v>
      </c>
      <c r="G494" s="12">
        <v>610</v>
      </c>
      <c r="H494" s="12" t="s">
        <v>135</v>
      </c>
      <c r="I494" s="49">
        <f>51446+1533+1211+754</f>
        <v>54944</v>
      </c>
      <c r="J494" s="49">
        <v>54944</v>
      </c>
      <c r="K494" s="198">
        <f t="shared" si="115"/>
        <v>100</v>
      </c>
      <c r="L494" s="49"/>
      <c r="M494" s="49"/>
      <c r="N494" s="201"/>
      <c r="O494" s="49">
        <f t="shared" si="116"/>
        <v>54944</v>
      </c>
      <c r="P494" s="49">
        <f t="shared" si="117"/>
        <v>54944</v>
      </c>
      <c r="Q494" s="203">
        <f t="shared" si="119"/>
        <v>100</v>
      </c>
    </row>
    <row r="495" spans="2:17" x14ac:dyDescent="0.2">
      <c r="B495" s="72">
        <f t="shared" si="118"/>
        <v>487</v>
      </c>
      <c r="C495" s="12"/>
      <c r="D495" s="12"/>
      <c r="E495" s="12"/>
      <c r="F495" s="52" t="s">
        <v>163</v>
      </c>
      <c r="G495" s="12">
        <v>620</v>
      </c>
      <c r="H495" s="12" t="s">
        <v>130</v>
      </c>
      <c r="I495" s="49">
        <f>19089+167+389-870</f>
        <v>18775</v>
      </c>
      <c r="J495" s="49">
        <v>18775</v>
      </c>
      <c r="K495" s="198">
        <f t="shared" si="115"/>
        <v>100</v>
      </c>
      <c r="L495" s="49"/>
      <c r="M495" s="49"/>
      <c r="N495" s="201"/>
      <c r="O495" s="49">
        <f t="shared" si="116"/>
        <v>18775</v>
      </c>
      <c r="P495" s="49">
        <f t="shared" si="117"/>
        <v>18775</v>
      </c>
      <c r="Q495" s="203">
        <f t="shared" si="119"/>
        <v>100</v>
      </c>
    </row>
    <row r="496" spans="2:17" x14ac:dyDescent="0.2">
      <c r="B496" s="72">
        <f t="shared" si="118"/>
        <v>488</v>
      </c>
      <c r="C496" s="12"/>
      <c r="D496" s="12"/>
      <c r="E496" s="12"/>
      <c r="F496" s="52" t="s">
        <v>163</v>
      </c>
      <c r="G496" s="12">
        <v>630</v>
      </c>
      <c r="H496" s="12" t="s">
        <v>127</v>
      </c>
      <c r="I496" s="49">
        <f>I499+I498+I497</f>
        <v>6966</v>
      </c>
      <c r="J496" s="49">
        <f>J499+J498+J497</f>
        <v>6966</v>
      </c>
      <c r="K496" s="198">
        <f t="shared" si="115"/>
        <v>100</v>
      </c>
      <c r="L496" s="49">
        <f>L499+L498+L497</f>
        <v>0</v>
      </c>
      <c r="M496" s="49">
        <f>M499+M498+M497</f>
        <v>0</v>
      </c>
      <c r="N496" s="201"/>
      <c r="O496" s="49">
        <f t="shared" si="116"/>
        <v>6966</v>
      </c>
      <c r="P496" s="49">
        <f t="shared" si="117"/>
        <v>6966</v>
      </c>
      <c r="Q496" s="203">
        <f t="shared" si="119"/>
        <v>100</v>
      </c>
    </row>
    <row r="497" spans="2:17" x14ac:dyDescent="0.2">
      <c r="B497" s="72">
        <f t="shared" si="118"/>
        <v>489</v>
      </c>
      <c r="C497" s="4"/>
      <c r="D497" s="4"/>
      <c r="E497" s="4"/>
      <c r="F497" s="53" t="s">
        <v>163</v>
      </c>
      <c r="G497" s="4">
        <v>632</v>
      </c>
      <c r="H497" s="4" t="s">
        <v>138</v>
      </c>
      <c r="I497" s="23">
        <f>6324-1500</f>
        <v>4824</v>
      </c>
      <c r="J497" s="23">
        <v>4824</v>
      </c>
      <c r="K497" s="198">
        <f t="shared" si="115"/>
        <v>100</v>
      </c>
      <c r="L497" s="23"/>
      <c r="M497" s="23"/>
      <c r="N497" s="201"/>
      <c r="O497" s="23">
        <f t="shared" si="116"/>
        <v>4824</v>
      </c>
      <c r="P497" s="23">
        <f t="shared" si="117"/>
        <v>4824</v>
      </c>
      <c r="Q497" s="203">
        <f t="shared" si="119"/>
        <v>100</v>
      </c>
    </row>
    <row r="498" spans="2:17" x14ac:dyDescent="0.2">
      <c r="B498" s="72">
        <f t="shared" si="118"/>
        <v>490</v>
      </c>
      <c r="C498" s="4"/>
      <c r="D498" s="4"/>
      <c r="E498" s="4"/>
      <c r="F498" s="53" t="s">
        <v>163</v>
      </c>
      <c r="G498" s="4">
        <v>633</v>
      </c>
      <c r="H498" s="4" t="s">
        <v>131</v>
      </c>
      <c r="I498" s="23">
        <v>969</v>
      </c>
      <c r="J498" s="23">
        <v>969</v>
      </c>
      <c r="K498" s="198">
        <f t="shared" ref="K498:K529" si="120">J498/I498*100</f>
        <v>100</v>
      </c>
      <c r="L498" s="23"/>
      <c r="M498" s="23"/>
      <c r="N498" s="201"/>
      <c r="O498" s="23">
        <f t="shared" ref="O498:O514" si="121">L498+I498</f>
        <v>969</v>
      </c>
      <c r="P498" s="23">
        <f t="shared" ref="P498:P515" si="122">M498+J498</f>
        <v>969</v>
      </c>
      <c r="Q498" s="203">
        <f t="shared" si="119"/>
        <v>100</v>
      </c>
    </row>
    <row r="499" spans="2:17" x14ac:dyDescent="0.2">
      <c r="B499" s="72">
        <f t="shared" si="118"/>
        <v>491</v>
      </c>
      <c r="C499" s="4"/>
      <c r="D499" s="4"/>
      <c r="E499" s="4"/>
      <c r="F499" s="53" t="s">
        <v>163</v>
      </c>
      <c r="G499" s="4">
        <v>637</v>
      </c>
      <c r="H499" s="4" t="s">
        <v>128</v>
      </c>
      <c r="I499" s="23">
        <v>1173</v>
      </c>
      <c r="J499" s="23">
        <v>1173</v>
      </c>
      <c r="K499" s="198">
        <f t="shared" si="120"/>
        <v>100</v>
      </c>
      <c r="L499" s="23"/>
      <c r="M499" s="23"/>
      <c r="N499" s="201"/>
      <c r="O499" s="23">
        <f t="shared" si="121"/>
        <v>1173</v>
      </c>
      <c r="P499" s="23">
        <f t="shared" si="122"/>
        <v>1173</v>
      </c>
      <c r="Q499" s="203">
        <f t="shared" si="119"/>
        <v>100</v>
      </c>
    </row>
    <row r="500" spans="2:17" x14ac:dyDescent="0.2">
      <c r="B500" s="72">
        <f t="shared" si="118"/>
        <v>492</v>
      </c>
      <c r="C500" s="12"/>
      <c r="D500" s="12"/>
      <c r="E500" s="12"/>
      <c r="F500" s="52" t="s">
        <v>163</v>
      </c>
      <c r="G500" s="12">
        <v>640</v>
      </c>
      <c r="H500" s="12" t="s">
        <v>134</v>
      </c>
      <c r="I500" s="49">
        <f>321-100+116</f>
        <v>337</v>
      </c>
      <c r="J500" s="49">
        <v>337</v>
      </c>
      <c r="K500" s="198">
        <f t="shared" si="120"/>
        <v>100</v>
      </c>
      <c r="L500" s="49"/>
      <c r="M500" s="49"/>
      <c r="N500" s="201"/>
      <c r="O500" s="49">
        <f t="shared" si="121"/>
        <v>337</v>
      </c>
      <c r="P500" s="49">
        <f t="shared" si="122"/>
        <v>337</v>
      </c>
      <c r="Q500" s="203">
        <f t="shared" si="119"/>
        <v>100</v>
      </c>
    </row>
    <row r="501" spans="2:17" ht="15" x14ac:dyDescent="0.25">
      <c r="B501" s="72">
        <f t="shared" si="118"/>
        <v>493</v>
      </c>
      <c r="C501" s="15"/>
      <c r="D501" s="15"/>
      <c r="E501" s="15">
        <v>7</v>
      </c>
      <c r="F501" s="50"/>
      <c r="G501" s="15"/>
      <c r="H501" s="15" t="s">
        <v>315</v>
      </c>
      <c r="I501" s="47">
        <f>I502+I503+I504+I508</f>
        <v>104265</v>
      </c>
      <c r="J501" s="47">
        <f>J502+J503+J504+J508</f>
        <v>104265</v>
      </c>
      <c r="K501" s="198">
        <f t="shared" si="120"/>
        <v>100</v>
      </c>
      <c r="L501" s="47">
        <f>L502+L503+L504+L508</f>
        <v>0</v>
      </c>
      <c r="M501" s="47">
        <f>M502+M503+M504+M508</f>
        <v>0</v>
      </c>
      <c r="N501" s="201"/>
      <c r="O501" s="47">
        <f t="shared" si="121"/>
        <v>104265</v>
      </c>
      <c r="P501" s="47">
        <f t="shared" si="122"/>
        <v>104265</v>
      </c>
      <c r="Q501" s="203">
        <f t="shared" si="119"/>
        <v>100</v>
      </c>
    </row>
    <row r="502" spans="2:17" x14ac:dyDescent="0.2">
      <c r="B502" s="72">
        <f t="shared" si="118"/>
        <v>494</v>
      </c>
      <c r="C502" s="12"/>
      <c r="D502" s="12"/>
      <c r="E502" s="12"/>
      <c r="F502" s="52" t="s">
        <v>163</v>
      </c>
      <c r="G502" s="12">
        <v>610</v>
      </c>
      <c r="H502" s="12" t="s">
        <v>135</v>
      </c>
      <c r="I502" s="49">
        <v>68905</v>
      </c>
      <c r="J502" s="49">
        <v>68905</v>
      </c>
      <c r="K502" s="198">
        <f t="shared" si="120"/>
        <v>100</v>
      </c>
      <c r="L502" s="49"/>
      <c r="M502" s="49"/>
      <c r="N502" s="201"/>
      <c r="O502" s="49">
        <f t="shared" si="121"/>
        <v>68905</v>
      </c>
      <c r="P502" s="49">
        <f t="shared" si="122"/>
        <v>68905</v>
      </c>
      <c r="Q502" s="203">
        <f t="shared" si="119"/>
        <v>100</v>
      </c>
    </row>
    <row r="503" spans="2:17" x14ac:dyDescent="0.2">
      <c r="B503" s="72">
        <f t="shared" si="118"/>
        <v>495</v>
      </c>
      <c r="C503" s="12"/>
      <c r="D503" s="12"/>
      <c r="E503" s="12"/>
      <c r="F503" s="52" t="s">
        <v>163</v>
      </c>
      <c r="G503" s="12">
        <v>620</v>
      </c>
      <c r="H503" s="12" t="s">
        <v>130</v>
      </c>
      <c r="I503" s="49">
        <v>24250</v>
      </c>
      <c r="J503" s="49">
        <v>24250</v>
      </c>
      <c r="K503" s="198">
        <f t="shared" si="120"/>
        <v>100</v>
      </c>
      <c r="L503" s="49"/>
      <c r="M503" s="49"/>
      <c r="N503" s="201"/>
      <c r="O503" s="49">
        <f t="shared" si="121"/>
        <v>24250</v>
      </c>
      <c r="P503" s="49">
        <f t="shared" si="122"/>
        <v>24250</v>
      </c>
      <c r="Q503" s="203">
        <f t="shared" si="119"/>
        <v>100</v>
      </c>
    </row>
    <row r="504" spans="2:17" x14ac:dyDescent="0.2">
      <c r="B504" s="72">
        <f t="shared" si="118"/>
        <v>496</v>
      </c>
      <c r="C504" s="12"/>
      <c r="D504" s="12"/>
      <c r="E504" s="12"/>
      <c r="F504" s="52" t="s">
        <v>163</v>
      </c>
      <c r="G504" s="12">
        <v>630</v>
      </c>
      <c r="H504" s="12" t="s">
        <v>127</v>
      </c>
      <c r="I504" s="49">
        <f>I507+I506+I505</f>
        <v>10340</v>
      </c>
      <c r="J504" s="49">
        <f>J507+J506+J505</f>
        <v>10340</v>
      </c>
      <c r="K504" s="198">
        <f t="shared" si="120"/>
        <v>100</v>
      </c>
      <c r="L504" s="49">
        <f>L507+L506+L505</f>
        <v>0</v>
      </c>
      <c r="M504" s="49">
        <f>M507+M506+M505</f>
        <v>0</v>
      </c>
      <c r="N504" s="201"/>
      <c r="O504" s="49">
        <f t="shared" si="121"/>
        <v>10340</v>
      </c>
      <c r="P504" s="49">
        <f t="shared" si="122"/>
        <v>10340</v>
      </c>
      <c r="Q504" s="203">
        <f t="shared" si="119"/>
        <v>100</v>
      </c>
    </row>
    <row r="505" spans="2:17" x14ac:dyDescent="0.2">
      <c r="B505" s="72">
        <f t="shared" si="118"/>
        <v>497</v>
      </c>
      <c r="C505" s="4"/>
      <c r="D505" s="4"/>
      <c r="E505" s="4"/>
      <c r="F505" s="53" t="s">
        <v>163</v>
      </c>
      <c r="G505" s="4">
        <v>632</v>
      </c>
      <c r="H505" s="4" t="s">
        <v>138</v>
      </c>
      <c r="I505" s="23">
        <f>1000+6700</f>
        <v>7700</v>
      </c>
      <c r="J505" s="23">
        <v>7700</v>
      </c>
      <c r="K505" s="198">
        <f t="shared" si="120"/>
        <v>100</v>
      </c>
      <c r="L505" s="23"/>
      <c r="M505" s="23"/>
      <c r="N505" s="201"/>
      <c r="O505" s="23">
        <f t="shared" si="121"/>
        <v>7700</v>
      </c>
      <c r="P505" s="23">
        <f t="shared" si="122"/>
        <v>7700</v>
      </c>
      <c r="Q505" s="203">
        <f t="shared" si="119"/>
        <v>100</v>
      </c>
    </row>
    <row r="506" spans="2:17" x14ac:dyDescent="0.2">
      <c r="B506" s="72">
        <f t="shared" si="118"/>
        <v>498</v>
      </c>
      <c r="C506" s="4"/>
      <c r="D506" s="4"/>
      <c r="E506" s="4"/>
      <c r="F506" s="53" t="s">
        <v>163</v>
      </c>
      <c r="G506" s="4">
        <v>633</v>
      </c>
      <c r="H506" s="4" t="s">
        <v>131</v>
      </c>
      <c r="I506" s="23">
        <f>2040-700</f>
        <v>1340</v>
      </c>
      <c r="J506" s="23">
        <v>1340</v>
      </c>
      <c r="K506" s="198">
        <f t="shared" si="120"/>
        <v>100</v>
      </c>
      <c r="L506" s="23"/>
      <c r="M506" s="23"/>
      <c r="N506" s="201"/>
      <c r="O506" s="23">
        <f t="shared" si="121"/>
        <v>1340</v>
      </c>
      <c r="P506" s="23">
        <f t="shared" si="122"/>
        <v>1340</v>
      </c>
      <c r="Q506" s="203">
        <f t="shared" si="119"/>
        <v>100</v>
      </c>
    </row>
    <row r="507" spans="2:17" x14ac:dyDescent="0.2">
      <c r="B507" s="72">
        <f t="shared" si="118"/>
        <v>499</v>
      </c>
      <c r="C507" s="4"/>
      <c r="D507" s="4"/>
      <c r="E507" s="4"/>
      <c r="F507" s="53" t="s">
        <v>163</v>
      </c>
      <c r="G507" s="4">
        <v>637</v>
      </c>
      <c r="H507" s="4" t="s">
        <v>128</v>
      </c>
      <c r="I507" s="23">
        <f>2500-1200</f>
        <v>1300</v>
      </c>
      <c r="J507" s="23">
        <v>1300</v>
      </c>
      <c r="K507" s="198">
        <f t="shared" si="120"/>
        <v>100</v>
      </c>
      <c r="L507" s="23"/>
      <c r="M507" s="23"/>
      <c r="N507" s="201"/>
      <c r="O507" s="23">
        <f t="shared" si="121"/>
        <v>1300</v>
      </c>
      <c r="P507" s="23">
        <f t="shared" si="122"/>
        <v>1300</v>
      </c>
      <c r="Q507" s="203">
        <f t="shared" si="119"/>
        <v>100</v>
      </c>
    </row>
    <row r="508" spans="2:17" x14ac:dyDescent="0.2">
      <c r="B508" s="72">
        <f t="shared" si="118"/>
        <v>500</v>
      </c>
      <c r="C508" s="12"/>
      <c r="D508" s="12"/>
      <c r="E508" s="12"/>
      <c r="F508" s="52" t="s">
        <v>163</v>
      </c>
      <c r="G508" s="12">
        <v>640</v>
      </c>
      <c r="H508" s="12" t="s">
        <v>134</v>
      </c>
      <c r="I508" s="49">
        <f>2270-1500</f>
        <v>770</v>
      </c>
      <c r="J508" s="49">
        <v>770</v>
      </c>
      <c r="K508" s="198">
        <f t="shared" si="120"/>
        <v>100</v>
      </c>
      <c r="L508" s="49"/>
      <c r="M508" s="49"/>
      <c r="N508" s="201"/>
      <c r="O508" s="49">
        <f t="shared" si="121"/>
        <v>770</v>
      </c>
      <c r="P508" s="49">
        <f t="shared" si="122"/>
        <v>770</v>
      </c>
      <c r="Q508" s="203">
        <f t="shared" si="119"/>
        <v>100</v>
      </c>
    </row>
    <row r="509" spans="2:17" ht="15" x14ac:dyDescent="0.25">
      <c r="B509" s="72">
        <f t="shared" si="118"/>
        <v>501</v>
      </c>
      <c r="C509" s="15"/>
      <c r="D509" s="15"/>
      <c r="E509" s="15">
        <v>8</v>
      </c>
      <c r="F509" s="50"/>
      <c r="G509" s="15"/>
      <c r="H509" s="15" t="s">
        <v>313</v>
      </c>
      <c r="I509" s="47">
        <f>I510+I511+I512+I517</f>
        <v>157795</v>
      </c>
      <c r="J509" s="47">
        <f>J510+J511+J512+J517</f>
        <v>156295</v>
      </c>
      <c r="K509" s="198">
        <f t="shared" si="120"/>
        <v>99.049399537374441</v>
      </c>
      <c r="L509" s="47">
        <f>L510+L511+L512+L517</f>
        <v>0</v>
      </c>
      <c r="M509" s="47">
        <f>M510+M511+M512+M517</f>
        <v>0</v>
      </c>
      <c r="N509" s="201"/>
      <c r="O509" s="47">
        <f t="shared" si="121"/>
        <v>157795</v>
      </c>
      <c r="P509" s="47">
        <f t="shared" si="122"/>
        <v>156295</v>
      </c>
      <c r="Q509" s="203">
        <f t="shared" si="119"/>
        <v>99.049399537374441</v>
      </c>
    </row>
    <row r="510" spans="2:17" x14ac:dyDescent="0.2">
      <c r="B510" s="72">
        <f t="shared" si="118"/>
        <v>502</v>
      </c>
      <c r="C510" s="12"/>
      <c r="D510" s="12"/>
      <c r="E510" s="12"/>
      <c r="F510" s="52" t="s">
        <v>163</v>
      </c>
      <c r="G510" s="12">
        <v>610</v>
      </c>
      <c r="H510" s="12" t="s">
        <v>135</v>
      </c>
      <c r="I510" s="49">
        <f>106283+900+270-337</f>
        <v>107116</v>
      </c>
      <c r="J510" s="49">
        <v>107116</v>
      </c>
      <c r="K510" s="198">
        <f t="shared" si="120"/>
        <v>100</v>
      </c>
      <c r="L510" s="49"/>
      <c r="M510" s="49"/>
      <c r="N510" s="201"/>
      <c r="O510" s="49">
        <f t="shared" si="121"/>
        <v>107116</v>
      </c>
      <c r="P510" s="49">
        <f t="shared" si="122"/>
        <v>107116</v>
      </c>
      <c r="Q510" s="203">
        <f t="shared" si="119"/>
        <v>100</v>
      </c>
    </row>
    <row r="511" spans="2:17" x14ac:dyDescent="0.2">
      <c r="B511" s="72">
        <f t="shared" si="118"/>
        <v>503</v>
      </c>
      <c r="C511" s="12"/>
      <c r="D511" s="12"/>
      <c r="E511" s="12"/>
      <c r="F511" s="52" t="s">
        <v>163</v>
      </c>
      <c r="G511" s="12">
        <v>620</v>
      </c>
      <c r="H511" s="12" t="s">
        <v>130</v>
      </c>
      <c r="I511" s="49">
        <f>37424+300+230+337</f>
        <v>38291</v>
      </c>
      <c r="J511" s="49">
        <v>38291</v>
      </c>
      <c r="K511" s="198">
        <f t="shared" si="120"/>
        <v>100</v>
      </c>
      <c r="L511" s="49"/>
      <c r="M511" s="49"/>
      <c r="N511" s="201"/>
      <c r="O511" s="49">
        <f t="shared" si="121"/>
        <v>38291</v>
      </c>
      <c r="P511" s="49">
        <f t="shared" si="122"/>
        <v>38291</v>
      </c>
      <c r="Q511" s="203">
        <f t="shared" si="119"/>
        <v>100</v>
      </c>
    </row>
    <row r="512" spans="2:17" x14ac:dyDescent="0.2">
      <c r="B512" s="72">
        <f t="shared" si="118"/>
        <v>504</v>
      </c>
      <c r="C512" s="12"/>
      <c r="D512" s="12"/>
      <c r="E512" s="12"/>
      <c r="F512" s="52" t="s">
        <v>163</v>
      </c>
      <c r="G512" s="12">
        <v>630</v>
      </c>
      <c r="H512" s="12" t="s">
        <v>127</v>
      </c>
      <c r="I512" s="49">
        <f>I516+I514+I513+I515</f>
        <v>12081</v>
      </c>
      <c r="J512" s="49">
        <f>J516+J514+J513+J515</f>
        <v>10581</v>
      </c>
      <c r="K512" s="198">
        <f t="shared" si="120"/>
        <v>87.583809287310658</v>
      </c>
      <c r="L512" s="49">
        <f>L516+L514+L513</f>
        <v>0</v>
      </c>
      <c r="M512" s="49">
        <f>M516+M514+M513</f>
        <v>0</v>
      </c>
      <c r="N512" s="201"/>
      <c r="O512" s="49">
        <f t="shared" si="121"/>
        <v>12081</v>
      </c>
      <c r="P512" s="49">
        <f t="shared" si="122"/>
        <v>10581</v>
      </c>
      <c r="Q512" s="203">
        <f t="shared" si="119"/>
        <v>87.583809287310658</v>
      </c>
    </row>
    <row r="513" spans="2:17" x14ac:dyDescent="0.2">
      <c r="B513" s="72">
        <f t="shared" si="118"/>
        <v>505</v>
      </c>
      <c r="C513" s="4"/>
      <c r="D513" s="4"/>
      <c r="E513" s="4"/>
      <c r="F513" s="53" t="s">
        <v>163</v>
      </c>
      <c r="G513" s="4">
        <v>632</v>
      </c>
      <c r="H513" s="4" t="s">
        <v>138</v>
      </c>
      <c r="I513" s="23">
        <v>6630</v>
      </c>
      <c r="J513" s="23">
        <v>6630</v>
      </c>
      <c r="K513" s="198">
        <f t="shared" si="120"/>
        <v>100</v>
      </c>
      <c r="L513" s="23"/>
      <c r="M513" s="23"/>
      <c r="N513" s="201"/>
      <c r="O513" s="23">
        <f t="shared" si="121"/>
        <v>6630</v>
      </c>
      <c r="P513" s="23">
        <f t="shared" si="122"/>
        <v>6630</v>
      </c>
      <c r="Q513" s="203">
        <f t="shared" si="119"/>
        <v>100</v>
      </c>
    </row>
    <row r="514" spans="2:17" x14ac:dyDescent="0.2">
      <c r="B514" s="72">
        <f t="shared" si="118"/>
        <v>506</v>
      </c>
      <c r="C514" s="4"/>
      <c r="D514" s="4"/>
      <c r="E514" s="4"/>
      <c r="F514" s="53" t="s">
        <v>163</v>
      </c>
      <c r="G514" s="4">
        <v>633</v>
      </c>
      <c r="H514" s="4" t="s">
        <v>131</v>
      </c>
      <c r="I514" s="23">
        <v>408</v>
      </c>
      <c r="J514" s="23">
        <v>408</v>
      </c>
      <c r="K514" s="198">
        <f t="shared" si="120"/>
        <v>100</v>
      </c>
      <c r="L514" s="23"/>
      <c r="M514" s="23"/>
      <c r="N514" s="201"/>
      <c r="O514" s="23">
        <f t="shared" si="121"/>
        <v>408</v>
      </c>
      <c r="P514" s="23">
        <f t="shared" si="122"/>
        <v>408</v>
      </c>
      <c r="Q514" s="203">
        <f t="shared" si="119"/>
        <v>100</v>
      </c>
    </row>
    <row r="515" spans="2:17" x14ac:dyDescent="0.2">
      <c r="B515" s="72">
        <f t="shared" si="118"/>
        <v>507</v>
      </c>
      <c r="C515" s="4"/>
      <c r="D515" s="4"/>
      <c r="E515" s="4"/>
      <c r="F515" s="53" t="s">
        <v>163</v>
      </c>
      <c r="G515" s="4">
        <v>635</v>
      </c>
      <c r="H515" s="4" t="s">
        <v>137</v>
      </c>
      <c r="I515" s="23">
        <v>1500</v>
      </c>
      <c r="J515" s="23">
        <v>0</v>
      </c>
      <c r="K515" s="198">
        <f t="shared" si="120"/>
        <v>0</v>
      </c>
      <c r="L515" s="23"/>
      <c r="M515" s="23"/>
      <c r="N515" s="201"/>
      <c r="O515" s="23"/>
      <c r="P515" s="23">
        <f t="shared" si="122"/>
        <v>0</v>
      </c>
      <c r="Q515" s="203"/>
    </row>
    <row r="516" spans="2:17" x14ac:dyDescent="0.2">
      <c r="B516" s="72">
        <f t="shared" si="118"/>
        <v>508</v>
      </c>
      <c r="C516" s="4"/>
      <c r="D516" s="4"/>
      <c r="E516" s="4"/>
      <c r="F516" s="53" t="s">
        <v>163</v>
      </c>
      <c r="G516" s="4">
        <v>637</v>
      </c>
      <c r="H516" s="4" t="s">
        <v>128</v>
      </c>
      <c r="I516" s="23">
        <f>3494+49</f>
        <v>3543</v>
      </c>
      <c r="J516" s="23">
        <v>3543</v>
      </c>
      <c r="K516" s="198">
        <f t="shared" si="120"/>
        <v>100</v>
      </c>
      <c r="L516" s="23"/>
      <c r="M516" s="23"/>
      <c r="N516" s="201"/>
      <c r="O516" s="23">
        <f t="shared" ref="O516:O546" si="123">L516+I516</f>
        <v>3543</v>
      </c>
      <c r="P516" s="23">
        <f t="shared" ref="P516:P546" si="124">M516+J516</f>
        <v>3543</v>
      </c>
      <c r="Q516" s="203">
        <f t="shared" ref="Q516:Q532" si="125">P516/O516*100</f>
        <v>100</v>
      </c>
    </row>
    <row r="517" spans="2:17" x14ac:dyDescent="0.2">
      <c r="B517" s="72">
        <f t="shared" si="118"/>
        <v>509</v>
      </c>
      <c r="C517" s="12"/>
      <c r="D517" s="12"/>
      <c r="E517" s="12"/>
      <c r="F517" s="52" t="s">
        <v>163</v>
      </c>
      <c r="G517" s="12">
        <v>640</v>
      </c>
      <c r="H517" s="12" t="s">
        <v>134</v>
      </c>
      <c r="I517" s="49">
        <f>856-500-49</f>
        <v>307</v>
      </c>
      <c r="J517" s="49">
        <v>307</v>
      </c>
      <c r="K517" s="198">
        <f t="shared" si="120"/>
        <v>100</v>
      </c>
      <c r="L517" s="49"/>
      <c r="M517" s="49"/>
      <c r="N517" s="201"/>
      <c r="O517" s="49">
        <f t="shared" si="123"/>
        <v>307</v>
      </c>
      <c r="P517" s="49">
        <f t="shared" si="124"/>
        <v>307</v>
      </c>
      <c r="Q517" s="203">
        <f t="shared" si="125"/>
        <v>100</v>
      </c>
    </row>
    <row r="518" spans="2:17" ht="15" x14ac:dyDescent="0.25">
      <c r="B518" s="72">
        <f t="shared" si="118"/>
        <v>510</v>
      </c>
      <c r="C518" s="15"/>
      <c r="D518" s="15"/>
      <c r="E518" s="15">
        <v>9</v>
      </c>
      <c r="F518" s="50"/>
      <c r="G518" s="15"/>
      <c r="H518" s="15" t="s">
        <v>273</v>
      </c>
      <c r="I518" s="47">
        <f>I519+I520+I521+I525</f>
        <v>50806</v>
      </c>
      <c r="J518" s="47">
        <f>J519+J520+J521+J525</f>
        <v>50507</v>
      </c>
      <c r="K518" s="198">
        <f t="shared" si="120"/>
        <v>99.411486832263904</v>
      </c>
      <c r="L518" s="47">
        <f>L519+L520+L521</f>
        <v>0</v>
      </c>
      <c r="M518" s="47">
        <f>M519+M520+M521</f>
        <v>0</v>
      </c>
      <c r="N518" s="201"/>
      <c r="O518" s="47">
        <f t="shared" si="123"/>
        <v>50806</v>
      </c>
      <c r="P518" s="47">
        <f t="shared" si="124"/>
        <v>50507</v>
      </c>
      <c r="Q518" s="203">
        <f t="shared" si="125"/>
        <v>99.411486832263904</v>
      </c>
    </row>
    <row r="519" spans="2:17" x14ac:dyDescent="0.2">
      <c r="B519" s="72">
        <f t="shared" si="118"/>
        <v>511</v>
      </c>
      <c r="C519" s="12"/>
      <c r="D519" s="12"/>
      <c r="E519" s="12"/>
      <c r="F519" s="52" t="s">
        <v>163</v>
      </c>
      <c r="G519" s="12">
        <v>610</v>
      </c>
      <c r="H519" s="12" t="s">
        <v>135</v>
      </c>
      <c r="I519" s="49">
        <f>34654-448-155</f>
        <v>34051</v>
      </c>
      <c r="J519" s="49">
        <v>34051</v>
      </c>
      <c r="K519" s="198">
        <f t="shared" si="120"/>
        <v>100</v>
      </c>
      <c r="L519" s="49"/>
      <c r="M519" s="49"/>
      <c r="N519" s="201"/>
      <c r="O519" s="49">
        <f t="shared" si="123"/>
        <v>34051</v>
      </c>
      <c r="P519" s="49">
        <f t="shared" si="124"/>
        <v>34051</v>
      </c>
      <c r="Q519" s="203">
        <f t="shared" si="125"/>
        <v>100</v>
      </c>
    </row>
    <row r="520" spans="2:17" x14ac:dyDescent="0.2">
      <c r="B520" s="72">
        <f t="shared" si="118"/>
        <v>512</v>
      </c>
      <c r="C520" s="12"/>
      <c r="D520" s="12"/>
      <c r="E520" s="12"/>
      <c r="F520" s="52" t="s">
        <v>163</v>
      </c>
      <c r="G520" s="12">
        <v>620</v>
      </c>
      <c r="H520" s="12" t="s">
        <v>130</v>
      </c>
      <c r="I520" s="49">
        <f>12111+238+49</f>
        <v>12398</v>
      </c>
      <c r="J520" s="49">
        <v>12398</v>
      </c>
      <c r="K520" s="198">
        <f t="shared" si="120"/>
        <v>100</v>
      </c>
      <c r="L520" s="49"/>
      <c r="M520" s="49"/>
      <c r="N520" s="201"/>
      <c r="O520" s="49">
        <f t="shared" si="123"/>
        <v>12398</v>
      </c>
      <c r="P520" s="49">
        <f t="shared" si="124"/>
        <v>12398</v>
      </c>
      <c r="Q520" s="203">
        <f t="shared" si="125"/>
        <v>100</v>
      </c>
    </row>
    <row r="521" spans="2:17" x14ac:dyDescent="0.2">
      <c r="B521" s="72">
        <f t="shared" si="118"/>
        <v>513</v>
      </c>
      <c r="C521" s="12"/>
      <c r="D521" s="12"/>
      <c r="E521" s="12"/>
      <c r="F521" s="52" t="s">
        <v>163</v>
      </c>
      <c r="G521" s="12">
        <v>630</v>
      </c>
      <c r="H521" s="12" t="s">
        <v>127</v>
      </c>
      <c r="I521" s="49">
        <f>I524+I523+I522</f>
        <v>4041</v>
      </c>
      <c r="J521" s="49">
        <f>J524+J523+J522</f>
        <v>3742</v>
      </c>
      <c r="K521" s="198">
        <f t="shared" si="120"/>
        <v>92.600841375897062</v>
      </c>
      <c r="L521" s="49">
        <f>L524+L523+L522</f>
        <v>0</v>
      </c>
      <c r="M521" s="49">
        <f>M524+M523+M522</f>
        <v>0</v>
      </c>
      <c r="N521" s="201"/>
      <c r="O521" s="49">
        <f t="shared" si="123"/>
        <v>4041</v>
      </c>
      <c r="P521" s="49">
        <f t="shared" si="124"/>
        <v>3742</v>
      </c>
      <c r="Q521" s="203">
        <f t="shared" si="125"/>
        <v>92.600841375897062</v>
      </c>
    </row>
    <row r="522" spans="2:17" x14ac:dyDescent="0.2">
      <c r="B522" s="72">
        <f t="shared" si="118"/>
        <v>514</v>
      </c>
      <c r="C522" s="4"/>
      <c r="D522" s="4"/>
      <c r="E522" s="4"/>
      <c r="F522" s="53" t="s">
        <v>163</v>
      </c>
      <c r="G522" s="4">
        <v>632</v>
      </c>
      <c r="H522" s="4" t="s">
        <v>138</v>
      </c>
      <c r="I522" s="23">
        <f>1700+20</f>
        <v>1720</v>
      </c>
      <c r="J522" s="23">
        <v>1720</v>
      </c>
      <c r="K522" s="198">
        <f t="shared" si="120"/>
        <v>100</v>
      </c>
      <c r="L522" s="23"/>
      <c r="M522" s="23"/>
      <c r="N522" s="201"/>
      <c r="O522" s="23">
        <f t="shared" si="123"/>
        <v>1720</v>
      </c>
      <c r="P522" s="23">
        <f t="shared" si="124"/>
        <v>1720</v>
      </c>
      <c r="Q522" s="203">
        <f t="shared" si="125"/>
        <v>100</v>
      </c>
    </row>
    <row r="523" spans="2:17" x14ac:dyDescent="0.2">
      <c r="B523" s="72">
        <f t="shared" si="118"/>
        <v>515</v>
      </c>
      <c r="C523" s="4"/>
      <c r="D523" s="4"/>
      <c r="E523" s="4"/>
      <c r="F523" s="53" t="s">
        <v>163</v>
      </c>
      <c r="G523" s="4">
        <v>633</v>
      </c>
      <c r="H523" s="4" t="s">
        <v>131</v>
      </c>
      <c r="I523" s="23">
        <f>100+1255</f>
        <v>1355</v>
      </c>
      <c r="J523" s="23">
        <v>1051</v>
      </c>
      <c r="K523" s="198">
        <f t="shared" si="120"/>
        <v>77.564575645756463</v>
      </c>
      <c r="L523" s="23"/>
      <c r="M523" s="23"/>
      <c r="N523" s="201"/>
      <c r="O523" s="23">
        <f t="shared" si="123"/>
        <v>1355</v>
      </c>
      <c r="P523" s="23">
        <f t="shared" si="124"/>
        <v>1051</v>
      </c>
      <c r="Q523" s="203">
        <f t="shared" si="125"/>
        <v>77.564575645756463</v>
      </c>
    </row>
    <row r="524" spans="2:17" x14ac:dyDescent="0.2">
      <c r="B524" s="72">
        <f t="shared" si="118"/>
        <v>516</v>
      </c>
      <c r="C524" s="4"/>
      <c r="D524" s="4"/>
      <c r="E524" s="4"/>
      <c r="F524" s="53" t="s">
        <v>163</v>
      </c>
      <c r="G524" s="4">
        <v>637</v>
      </c>
      <c r="H524" s="4" t="s">
        <v>128</v>
      </c>
      <c r="I524" s="23">
        <f>840+126</f>
        <v>966</v>
      </c>
      <c r="J524" s="23">
        <v>971</v>
      </c>
      <c r="K524" s="198">
        <f t="shared" si="120"/>
        <v>100.51759834368529</v>
      </c>
      <c r="L524" s="23"/>
      <c r="M524" s="23"/>
      <c r="N524" s="201"/>
      <c r="O524" s="23">
        <f t="shared" si="123"/>
        <v>966</v>
      </c>
      <c r="P524" s="23">
        <f t="shared" si="124"/>
        <v>971</v>
      </c>
      <c r="Q524" s="203">
        <f t="shared" si="125"/>
        <v>100.51759834368529</v>
      </c>
    </row>
    <row r="525" spans="2:17" x14ac:dyDescent="0.2">
      <c r="B525" s="72">
        <f t="shared" si="118"/>
        <v>517</v>
      </c>
      <c r="C525" s="4"/>
      <c r="D525" s="4"/>
      <c r="E525" s="4"/>
      <c r="F525" s="52" t="s">
        <v>163</v>
      </c>
      <c r="G525" s="12">
        <v>640</v>
      </c>
      <c r="H525" s="12" t="s">
        <v>134</v>
      </c>
      <c r="I525" s="49">
        <f>210+106</f>
        <v>316</v>
      </c>
      <c r="J525" s="49">
        <v>316</v>
      </c>
      <c r="K525" s="198">
        <f t="shared" si="120"/>
        <v>100</v>
      </c>
      <c r="L525" s="49"/>
      <c r="M525" s="49"/>
      <c r="N525" s="201"/>
      <c r="O525" s="49">
        <f t="shared" si="123"/>
        <v>316</v>
      </c>
      <c r="P525" s="49">
        <f t="shared" si="124"/>
        <v>316</v>
      </c>
      <c r="Q525" s="203">
        <f t="shared" si="125"/>
        <v>100</v>
      </c>
    </row>
    <row r="526" spans="2:17" ht="15" x14ac:dyDescent="0.25">
      <c r="B526" s="72">
        <f t="shared" si="118"/>
        <v>518</v>
      </c>
      <c r="C526" s="15"/>
      <c r="D526" s="15"/>
      <c r="E526" s="15">
        <v>10</v>
      </c>
      <c r="F526" s="50"/>
      <c r="G526" s="15"/>
      <c r="H526" s="15" t="s">
        <v>255</v>
      </c>
      <c r="I526" s="47">
        <f>I527+I528+I529</f>
        <v>42523</v>
      </c>
      <c r="J526" s="47">
        <f>J527+J528+J529</f>
        <v>42523</v>
      </c>
      <c r="K526" s="198">
        <f t="shared" si="120"/>
        <v>100</v>
      </c>
      <c r="L526" s="47">
        <f>L527+L528+L529</f>
        <v>0</v>
      </c>
      <c r="M526" s="47">
        <f>M527+M528+M529</f>
        <v>0</v>
      </c>
      <c r="N526" s="201"/>
      <c r="O526" s="47">
        <f t="shared" si="123"/>
        <v>42523</v>
      </c>
      <c r="P526" s="47">
        <f t="shared" si="124"/>
        <v>42523</v>
      </c>
      <c r="Q526" s="203">
        <f t="shared" si="125"/>
        <v>100</v>
      </c>
    </row>
    <row r="527" spans="2:17" x14ac:dyDescent="0.2">
      <c r="B527" s="72">
        <f t="shared" si="118"/>
        <v>519</v>
      </c>
      <c r="C527" s="12"/>
      <c r="D527" s="12"/>
      <c r="E527" s="12"/>
      <c r="F527" s="52" t="s">
        <v>163</v>
      </c>
      <c r="G527" s="12">
        <v>610</v>
      </c>
      <c r="H527" s="12" t="s">
        <v>135</v>
      </c>
      <c r="I527" s="49">
        <f>25358+2070+319-24</f>
        <v>27723</v>
      </c>
      <c r="J527" s="49">
        <v>27723</v>
      </c>
      <c r="K527" s="198">
        <f t="shared" si="120"/>
        <v>100</v>
      </c>
      <c r="L527" s="49"/>
      <c r="M527" s="49"/>
      <c r="N527" s="201"/>
      <c r="O527" s="49">
        <f t="shared" si="123"/>
        <v>27723</v>
      </c>
      <c r="P527" s="49">
        <f t="shared" si="124"/>
        <v>27723</v>
      </c>
      <c r="Q527" s="203">
        <f t="shared" si="125"/>
        <v>100</v>
      </c>
    </row>
    <row r="528" spans="2:17" x14ac:dyDescent="0.2">
      <c r="B528" s="72">
        <f t="shared" si="118"/>
        <v>520</v>
      </c>
      <c r="C528" s="12"/>
      <c r="D528" s="12"/>
      <c r="E528" s="12"/>
      <c r="F528" s="52" t="s">
        <v>163</v>
      </c>
      <c r="G528" s="12">
        <v>620</v>
      </c>
      <c r="H528" s="12" t="s">
        <v>130</v>
      </c>
      <c r="I528" s="49">
        <f>8859+725-169+24</f>
        <v>9439</v>
      </c>
      <c r="J528" s="49">
        <v>9439</v>
      </c>
      <c r="K528" s="198">
        <f t="shared" si="120"/>
        <v>100</v>
      </c>
      <c r="L528" s="49"/>
      <c r="M528" s="49"/>
      <c r="N528" s="201"/>
      <c r="O528" s="49">
        <f t="shared" si="123"/>
        <v>9439</v>
      </c>
      <c r="P528" s="49">
        <f t="shared" si="124"/>
        <v>9439</v>
      </c>
      <c r="Q528" s="203">
        <f t="shared" si="125"/>
        <v>100</v>
      </c>
    </row>
    <row r="529" spans="2:17" x14ac:dyDescent="0.2">
      <c r="B529" s="72">
        <f t="shared" si="118"/>
        <v>521</v>
      </c>
      <c r="C529" s="12"/>
      <c r="D529" s="12"/>
      <c r="E529" s="12"/>
      <c r="F529" s="52" t="s">
        <v>163</v>
      </c>
      <c r="G529" s="12">
        <v>630</v>
      </c>
      <c r="H529" s="12" t="s">
        <v>127</v>
      </c>
      <c r="I529" s="49">
        <f>I532+I531+I530</f>
        <v>5361</v>
      </c>
      <c r="J529" s="49">
        <f>J532+J531+J530</f>
        <v>5361</v>
      </c>
      <c r="K529" s="198">
        <f t="shared" si="120"/>
        <v>100</v>
      </c>
      <c r="L529" s="49">
        <f>L532+L531+L530</f>
        <v>0</v>
      </c>
      <c r="M529" s="49">
        <f>M532+M531+M530</f>
        <v>0</v>
      </c>
      <c r="N529" s="201"/>
      <c r="O529" s="49">
        <f t="shared" si="123"/>
        <v>5361</v>
      </c>
      <c r="P529" s="49">
        <f t="shared" si="124"/>
        <v>5361</v>
      </c>
      <c r="Q529" s="203">
        <f t="shared" si="125"/>
        <v>100</v>
      </c>
    </row>
    <row r="530" spans="2:17" x14ac:dyDescent="0.2">
      <c r="B530" s="72">
        <f t="shared" si="118"/>
        <v>522</v>
      </c>
      <c r="C530" s="4"/>
      <c r="D530" s="4"/>
      <c r="E530" s="4"/>
      <c r="F530" s="53" t="s">
        <v>163</v>
      </c>
      <c r="G530" s="4">
        <v>632</v>
      </c>
      <c r="H530" s="4" t="s">
        <v>138</v>
      </c>
      <c r="I530" s="23">
        <v>1560</v>
      </c>
      <c r="J530" s="23">
        <v>1560</v>
      </c>
      <c r="K530" s="198">
        <f t="shared" ref="K530:K532" si="126">J530/I530*100</f>
        <v>100</v>
      </c>
      <c r="L530" s="23"/>
      <c r="M530" s="23"/>
      <c r="N530" s="201"/>
      <c r="O530" s="23">
        <f t="shared" si="123"/>
        <v>1560</v>
      </c>
      <c r="P530" s="23">
        <f t="shared" si="124"/>
        <v>1560</v>
      </c>
      <c r="Q530" s="203">
        <f t="shared" si="125"/>
        <v>100</v>
      </c>
    </row>
    <row r="531" spans="2:17" x14ac:dyDescent="0.2">
      <c r="B531" s="72">
        <f t="shared" si="118"/>
        <v>523</v>
      </c>
      <c r="C531" s="4"/>
      <c r="D531" s="4"/>
      <c r="E531" s="4"/>
      <c r="F531" s="53" t="s">
        <v>163</v>
      </c>
      <c r="G531" s="4">
        <v>633</v>
      </c>
      <c r="H531" s="4" t="s">
        <v>131</v>
      </c>
      <c r="I531" s="23">
        <f>760+1071</f>
        <v>1831</v>
      </c>
      <c r="J531" s="23">
        <v>1831</v>
      </c>
      <c r="K531" s="198">
        <f t="shared" si="126"/>
        <v>100</v>
      </c>
      <c r="L531" s="23"/>
      <c r="M531" s="23"/>
      <c r="N531" s="201"/>
      <c r="O531" s="23">
        <f t="shared" si="123"/>
        <v>1831</v>
      </c>
      <c r="P531" s="23">
        <f t="shared" si="124"/>
        <v>1831</v>
      </c>
      <c r="Q531" s="203">
        <f t="shared" si="125"/>
        <v>100</v>
      </c>
    </row>
    <row r="532" spans="2:17" x14ac:dyDescent="0.2">
      <c r="B532" s="72">
        <f t="shared" si="118"/>
        <v>524</v>
      </c>
      <c r="C532" s="4"/>
      <c r="D532" s="4"/>
      <c r="E532" s="4"/>
      <c r="F532" s="53" t="s">
        <v>163</v>
      </c>
      <c r="G532" s="4">
        <v>637</v>
      </c>
      <c r="H532" s="4" t="s">
        <v>128</v>
      </c>
      <c r="I532" s="23">
        <f>1690+280</f>
        <v>1970</v>
      </c>
      <c r="J532" s="23">
        <v>1970</v>
      </c>
      <c r="K532" s="198">
        <f t="shared" si="126"/>
        <v>100</v>
      </c>
      <c r="L532" s="23"/>
      <c r="M532" s="23"/>
      <c r="N532" s="201"/>
      <c r="O532" s="23">
        <f t="shared" si="123"/>
        <v>1970</v>
      </c>
      <c r="P532" s="23">
        <f t="shared" si="124"/>
        <v>1970</v>
      </c>
      <c r="Q532" s="203">
        <f t="shared" si="125"/>
        <v>100</v>
      </c>
    </row>
    <row r="533" spans="2:17" ht="15" x14ac:dyDescent="0.25">
      <c r="B533" s="72">
        <f t="shared" si="118"/>
        <v>525</v>
      </c>
      <c r="C533" s="15"/>
      <c r="D533" s="15"/>
      <c r="E533" s="15">
        <v>11</v>
      </c>
      <c r="F533" s="50"/>
      <c r="G533" s="15"/>
      <c r="H533" s="15" t="s">
        <v>272</v>
      </c>
      <c r="I533" s="47">
        <f>I534+I535+I536+I540</f>
        <v>102865</v>
      </c>
      <c r="J533" s="47">
        <f>J534+J535+J536+J540</f>
        <v>94265</v>
      </c>
      <c r="K533" s="198">
        <f t="shared" ref="K533:K555" si="127">J533/I533*100</f>
        <v>91.639527536090995</v>
      </c>
      <c r="L533" s="47">
        <f>L534+L535+L536+L540</f>
        <v>0</v>
      </c>
      <c r="M533" s="47">
        <f>M534+M535+M536+M540</f>
        <v>0</v>
      </c>
      <c r="N533" s="201"/>
      <c r="O533" s="47">
        <f t="shared" si="123"/>
        <v>102865</v>
      </c>
      <c r="P533" s="47">
        <f t="shared" si="124"/>
        <v>94265</v>
      </c>
      <c r="Q533" s="203">
        <f t="shared" ref="Q533:Q555" si="128">P533/O533*100</f>
        <v>91.639527536090995</v>
      </c>
    </row>
    <row r="534" spans="2:17" x14ac:dyDescent="0.2">
      <c r="B534" s="72">
        <f t="shared" si="118"/>
        <v>526</v>
      </c>
      <c r="C534" s="12"/>
      <c r="D534" s="12"/>
      <c r="E534" s="12"/>
      <c r="F534" s="52" t="s">
        <v>163</v>
      </c>
      <c r="G534" s="12">
        <v>610</v>
      </c>
      <c r="H534" s="12" t="s">
        <v>135</v>
      </c>
      <c r="I534" s="49">
        <f>73300-7000+500-1235</f>
        <v>65565</v>
      </c>
      <c r="J534" s="49">
        <v>64165</v>
      </c>
      <c r="K534" s="198">
        <f t="shared" si="127"/>
        <v>97.864714405551751</v>
      </c>
      <c r="L534" s="49"/>
      <c r="M534" s="49"/>
      <c r="N534" s="201"/>
      <c r="O534" s="49">
        <f t="shared" si="123"/>
        <v>65565</v>
      </c>
      <c r="P534" s="49">
        <f t="shared" si="124"/>
        <v>64165</v>
      </c>
      <c r="Q534" s="203">
        <f t="shared" si="128"/>
        <v>97.864714405551751</v>
      </c>
    </row>
    <row r="535" spans="2:17" x14ac:dyDescent="0.2">
      <c r="B535" s="72">
        <f t="shared" si="118"/>
        <v>527</v>
      </c>
      <c r="C535" s="12"/>
      <c r="D535" s="12"/>
      <c r="E535" s="12"/>
      <c r="F535" s="52" t="s">
        <v>163</v>
      </c>
      <c r="G535" s="12">
        <v>620</v>
      </c>
      <c r="H535" s="12" t="s">
        <v>130</v>
      </c>
      <c r="I535" s="49">
        <f>25633-2000-500-942</f>
        <v>22191</v>
      </c>
      <c r="J535" s="49">
        <v>22191</v>
      </c>
      <c r="K535" s="198">
        <f t="shared" si="127"/>
        <v>100</v>
      </c>
      <c r="L535" s="49"/>
      <c r="M535" s="49"/>
      <c r="N535" s="201"/>
      <c r="O535" s="49">
        <f t="shared" si="123"/>
        <v>22191</v>
      </c>
      <c r="P535" s="49">
        <f t="shared" si="124"/>
        <v>22191</v>
      </c>
      <c r="Q535" s="203">
        <f t="shared" si="128"/>
        <v>100</v>
      </c>
    </row>
    <row r="536" spans="2:17" x14ac:dyDescent="0.2">
      <c r="B536" s="72">
        <f t="shared" si="118"/>
        <v>528</v>
      </c>
      <c r="C536" s="12"/>
      <c r="D536" s="12"/>
      <c r="E536" s="12"/>
      <c r="F536" s="52" t="s">
        <v>163</v>
      </c>
      <c r="G536" s="12">
        <v>630</v>
      </c>
      <c r="H536" s="12" t="s">
        <v>127</v>
      </c>
      <c r="I536" s="49">
        <f>I539+I538+I537</f>
        <v>14210</v>
      </c>
      <c r="J536" s="49">
        <f>J539+J538+J537</f>
        <v>7010</v>
      </c>
      <c r="K536" s="198">
        <f t="shared" si="127"/>
        <v>49.331456720619279</v>
      </c>
      <c r="L536" s="49">
        <f>L539+L538+L537</f>
        <v>0</v>
      </c>
      <c r="M536" s="49">
        <f>M539+M538+M537</f>
        <v>0</v>
      </c>
      <c r="N536" s="201"/>
      <c r="O536" s="49">
        <f t="shared" si="123"/>
        <v>14210</v>
      </c>
      <c r="P536" s="49">
        <f t="shared" si="124"/>
        <v>7010</v>
      </c>
      <c r="Q536" s="203">
        <f t="shared" si="128"/>
        <v>49.331456720619279</v>
      </c>
    </row>
    <row r="537" spans="2:17" x14ac:dyDescent="0.2">
      <c r="B537" s="72">
        <f t="shared" si="118"/>
        <v>529</v>
      </c>
      <c r="C537" s="4"/>
      <c r="D537" s="4"/>
      <c r="E537" s="4"/>
      <c r="F537" s="53" t="s">
        <v>163</v>
      </c>
      <c r="G537" s="4">
        <v>632</v>
      </c>
      <c r="H537" s="4" t="s">
        <v>138</v>
      </c>
      <c r="I537" s="23">
        <f>3631+1622+591</f>
        <v>5844</v>
      </c>
      <c r="J537" s="23">
        <v>32</v>
      </c>
      <c r="K537" s="198">
        <f t="shared" si="127"/>
        <v>0.54757015742642023</v>
      </c>
      <c r="L537" s="23"/>
      <c r="M537" s="23"/>
      <c r="N537" s="201"/>
      <c r="O537" s="23">
        <f t="shared" si="123"/>
        <v>5844</v>
      </c>
      <c r="P537" s="23">
        <f t="shared" si="124"/>
        <v>32</v>
      </c>
      <c r="Q537" s="203">
        <f t="shared" si="128"/>
        <v>0.54757015742642023</v>
      </c>
    </row>
    <row r="538" spans="2:17" x14ac:dyDescent="0.2">
      <c r="B538" s="72">
        <f t="shared" si="118"/>
        <v>530</v>
      </c>
      <c r="C538" s="4"/>
      <c r="D538" s="4"/>
      <c r="E538" s="4"/>
      <c r="F538" s="53" t="s">
        <v>163</v>
      </c>
      <c r="G538" s="4">
        <v>633</v>
      </c>
      <c r="H538" s="4" t="s">
        <v>131</v>
      </c>
      <c r="I538" s="23">
        <f>3978-1000+1486+1157</f>
        <v>5621</v>
      </c>
      <c r="J538" s="23">
        <v>4233</v>
      </c>
      <c r="K538" s="198">
        <f t="shared" si="127"/>
        <v>75.30688489592599</v>
      </c>
      <c r="L538" s="23"/>
      <c r="M538" s="23"/>
      <c r="N538" s="201"/>
      <c r="O538" s="23">
        <f t="shared" si="123"/>
        <v>5621</v>
      </c>
      <c r="P538" s="23">
        <f t="shared" si="124"/>
        <v>4233</v>
      </c>
      <c r="Q538" s="203">
        <f t="shared" si="128"/>
        <v>75.30688489592599</v>
      </c>
    </row>
    <row r="539" spans="2:17" x14ac:dyDescent="0.2">
      <c r="B539" s="72">
        <f t="shared" si="118"/>
        <v>531</v>
      </c>
      <c r="C539" s="4"/>
      <c r="D539" s="4"/>
      <c r="E539" s="4"/>
      <c r="F539" s="53" t="s">
        <v>163</v>
      </c>
      <c r="G539" s="4">
        <v>637</v>
      </c>
      <c r="H539" s="4" t="s">
        <v>128</v>
      </c>
      <c r="I539" s="23">
        <f>2897-360+208</f>
        <v>2745</v>
      </c>
      <c r="J539" s="23">
        <v>2745</v>
      </c>
      <c r="K539" s="198">
        <f t="shared" si="127"/>
        <v>100</v>
      </c>
      <c r="L539" s="23"/>
      <c r="M539" s="23"/>
      <c r="N539" s="201"/>
      <c r="O539" s="23">
        <f t="shared" si="123"/>
        <v>2745</v>
      </c>
      <c r="P539" s="23">
        <f t="shared" si="124"/>
        <v>2745</v>
      </c>
      <c r="Q539" s="203">
        <f t="shared" si="128"/>
        <v>100</v>
      </c>
    </row>
    <row r="540" spans="2:17" x14ac:dyDescent="0.2">
      <c r="B540" s="72">
        <f t="shared" si="118"/>
        <v>532</v>
      </c>
      <c r="C540" s="12"/>
      <c r="D540" s="12"/>
      <c r="E540" s="12"/>
      <c r="F540" s="52" t="s">
        <v>163</v>
      </c>
      <c r="G540" s="12">
        <v>640</v>
      </c>
      <c r="H540" s="12" t="s">
        <v>134</v>
      </c>
      <c r="I540" s="49">
        <f>1671-993+221</f>
        <v>899</v>
      </c>
      <c r="J540" s="49">
        <v>899</v>
      </c>
      <c r="K540" s="198">
        <f t="shared" si="127"/>
        <v>100</v>
      </c>
      <c r="L540" s="49"/>
      <c r="M540" s="49"/>
      <c r="N540" s="201"/>
      <c r="O540" s="49">
        <f t="shared" si="123"/>
        <v>899</v>
      </c>
      <c r="P540" s="49">
        <f t="shared" si="124"/>
        <v>899</v>
      </c>
      <c r="Q540" s="203">
        <f t="shared" si="128"/>
        <v>100</v>
      </c>
    </row>
    <row r="541" spans="2:17" ht="15" x14ac:dyDescent="0.25">
      <c r="B541" s="72">
        <f t="shared" si="118"/>
        <v>533</v>
      </c>
      <c r="C541" s="15"/>
      <c r="D541" s="15"/>
      <c r="E541" s="15">
        <v>12</v>
      </c>
      <c r="F541" s="50"/>
      <c r="G541" s="15"/>
      <c r="H541" s="15" t="s">
        <v>271</v>
      </c>
      <c r="I541" s="47">
        <f>I542+I543+I544+I548</f>
        <v>79618</v>
      </c>
      <c r="J541" s="47">
        <f>J542+J543+J544+J548</f>
        <v>79618</v>
      </c>
      <c r="K541" s="198">
        <f t="shared" si="127"/>
        <v>100</v>
      </c>
      <c r="L541" s="47">
        <f>L542+L543+L544+L548</f>
        <v>0</v>
      </c>
      <c r="M541" s="47">
        <f>M542+M543+M544+M548</f>
        <v>0</v>
      </c>
      <c r="N541" s="201"/>
      <c r="O541" s="47">
        <f t="shared" si="123"/>
        <v>79618</v>
      </c>
      <c r="P541" s="47">
        <f t="shared" si="124"/>
        <v>79618</v>
      </c>
      <c r="Q541" s="203">
        <f t="shared" si="128"/>
        <v>100</v>
      </c>
    </row>
    <row r="542" spans="2:17" x14ac:dyDescent="0.2">
      <c r="B542" s="72">
        <f t="shared" si="118"/>
        <v>534</v>
      </c>
      <c r="C542" s="12"/>
      <c r="D542" s="12"/>
      <c r="E542" s="12"/>
      <c r="F542" s="52" t="s">
        <v>163</v>
      </c>
      <c r="G542" s="12">
        <v>610</v>
      </c>
      <c r="H542" s="12" t="s">
        <v>135</v>
      </c>
      <c r="I542" s="49">
        <f>45536+9552</f>
        <v>55088</v>
      </c>
      <c r="J542" s="49">
        <v>55088</v>
      </c>
      <c r="K542" s="198">
        <f t="shared" si="127"/>
        <v>100</v>
      </c>
      <c r="L542" s="49"/>
      <c r="M542" s="49"/>
      <c r="N542" s="201"/>
      <c r="O542" s="49">
        <f t="shared" si="123"/>
        <v>55088</v>
      </c>
      <c r="P542" s="49">
        <f t="shared" si="124"/>
        <v>55088</v>
      </c>
      <c r="Q542" s="203">
        <f t="shared" si="128"/>
        <v>100</v>
      </c>
    </row>
    <row r="543" spans="2:17" x14ac:dyDescent="0.2">
      <c r="B543" s="72">
        <f t="shared" si="118"/>
        <v>535</v>
      </c>
      <c r="C543" s="12"/>
      <c r="D543" s="12"/>
      <c r="E543" s="12"/>
      <c r="F543" s="52" t="s">
        <v>163</v>
      </c>
      <c r="G543" s="12">
        <v>620</v>
      </c>
      <c r="H543" s="12" t="s">
        <v>130</v>
      </c>
      <c r="I543" s="49">
        <f>14556+4724</f>
        <v>19280</v>
      </c>
      <c r="J543" s="49">
        <v>19280</v>
      </c>
      <c r="K543" s="198">
        <f t="shared" si="127"/>
        <v>100</v>
      </c>
      <c r="L543" s="49"/>
      <c r="M543" s="49"/>
      <c r="N543" s="201"/>
      <c r="O543" s="49">
        <f t="shared" si="123"/>
        <v>19280</v>
      </c>
      <c r="P543" s="49">
        <f t="shared" si="124"/>
        <v>19280</v>
      </c>
      <c r="Q543" s="203">
        <f t="shared" si="128"/>
        <v>100</v>
      </c>
    </row>
    <row r="544" spans="2:17" x14ac:dyDescent="0.2">
      <c r="B544" s="72">
        <f t="shared" si="118"/>
        <v>536</v>
      </c>
      <c r="C544" s="12"/>
      <c r="D544" s="12"/>
      <c r="E544" s="12"/>
      <c r="F544" s="52" t="s">
        <v>163</v>
      </c>
      <c r="G544" s="12">
        <v>630</v>
      </c>
      <c r="H544" s="12" t="s">
        <v>127</v>
      </c>
      <c r="I544" s="49">
        <f>I547+I546+I545</f>
        <v>2040</v>
      </c>
      <c r="J544" s="49">
        <f>J547+J546+J545</f>
        <v>2040</v>
      </c>
      <c r="K544" s="198">
        <f t="shared" si="127"/>
        <v>100</v>
      </c>
      <c r="L544" s="49">
        <f>L547+L546+L545</f>
        <v>0</v>
      </c>
      <c r="M544" s="49">
        <f>M547+M546+M545</f>
        <v>0</v>
      </c>
      <c r="N544" s="201"/>
      <c r="O544" s="49">
        <f t="shared" si="123"/>
        <v>2040</v>
      </c>
      <c r="P544" s="49">
        <f t="shared" si="124"/>
        <v>2040</v>
      </c>
      <c r="Q544" s="203">
        <f t="shared" si="128"/>
        <v>100</v>
      </c>
    </row>
    <row r="545" spans="2:17" x14ac:dyDescent="0.2">
      <c r="B545" s="72">
        <f t="shared" si="118"/>
        <v>537</v>
      </c>
      <c r="C545" s="4"/>
      <c r="D545" s="4"/>
      <c r="E545" s="4"/>
      <c r="F545" s="53" t="s">
        <v>163</v>
      </c>
      <c r="G545" s="4">
        <v>632</v>
      </c>
      <c r="H545" s="4" t="s">
        <v>138</v>
      </c>
      <c r="I545" s="23">
        <v>306</v>
      </c>
      <c r="J545" s="23">
        <v>306</v>
      </c>
      <c r="K545" s="198">
        <f t="shared" si="127"/>
        <v>100</v>
      </c>
      <c r="L545" s="23"/>
      <c r="M545" s="23"/>
      <c r="N545" s="201"/>
      <c r="O545" s="23">
        <f t="shared" si="123"/>
        <v>306</v>
      </c>
      <c r="P545" s="23">
        <f t="shared" si="124"/>
        <v>306</v>
      </c>
      <c r="Q545" s="203">
        <f t="shared" si="128"/>
        <v>100</v>
      </c>
    </row>
    <row r="546" spans="2:17" x14ac:dyDescent="0.2">
      <c r="B546" s="72">
        <f t="shared" ref="B546:B608" si="129">B545+1</f>
        <v>538</v>
      </c>
      <c r="C546" s="4"/>
      <c r="D546" s="4"/>
      <c r="E546" s="4"/>
      <c r="F546" s="53" t="s">
        <v>163</v>
      </c>
      <c r="G546" s="4">
        <v>633</v>
      </c>
      <c r="H546" s="4" t="s">
        <v>131</v>
      </c>
      <c r="I546" s="23">
        <v>1224</v>
      </c>
      <c r="J546" s="23">
        <v>1224</v>
      </c>
      <c r="K546" s="198">
        <f t="shared" si="127"/>
        <v>100</v>
      </c>
      <c r="L546" s="23"/>
      <c r="M546" s="23"/>
      <c r="N546" s="201"/>
      <c r="O546" s="23">
        <f t="shared" si="123"/>
        <v>1224</v>
      </c>
      <c r="P546" s="23">
        <f t="shared" si="124"/>
        <v>1224</v>
      </c>
      <c r="Q546" s="203">
        <f t="shared" si="128"/>
        <v>100</v>
      </c>
    </row>
    <row r="547" spans="2:17" x14ac:dyDescent="0.2">
      <c r="B547" s="72">
        <f t="shared" si="129"/>
        <v>539</v>
      </c>
      <c r="C547" s="4"/>
      <c r="D547" s="4"/>
      <c r="E547" s="4"/>
      <c r="F547" s="53" t="s">
        <v>163</v>
      </c>
      <c r="G547" s="4">
        <v>637</v>
      </c>
      <c r="H547" s="4" t="s">
        <v>128</v>
      </c>
      <c r="I547" s="23">
        <v>510</v>
      </c>
      <c r="J547" s="23">
        <v>510</v>
      </c>
      <c r="K547" s="198">
        <f t="shared" si="127"/>
        <v>100</v>
      </c>
      <c r="L547" s="23"/>
      <c r="M547" s="23"/>
      <c r="N547" s="201"/>
      <c r="O547" s="23">
        <f t="shared" ref="O547:O573" si="130">L547+I547</f>
        <v>510</v>
      </c>
      <c r="P547" s="23">
        <f t="shared" ref="P547:P573" si="131">M547+J547</f>
        <v>510</v>
      </c>
      <c r="Q547" s="203">
        <f t="shared" si="128"/>
        <v>100</v>
      </c>
    </row>
    <row r="548" spans="2:17" x14ac:dyDescent="0.2">
      <c r="B548" s="72">
        <f t="shared" si="129"/>
        <v>540</v>
      </c>
      <c r="C548" s="12"/>
      <c r="D548" s="12"/>
      <c r="E548" s="12"/>
      <c r="F548" s="52" t="s">
        <v>163</v>
      </c>
      <c r="G548" s="12">
        <v>640</v>
      </c>
      <c r="H548" s="12" t="s">
        <v>134</v>
      </c>
      <c r="I548" s="49">
        <v>3210</v>
      </c>
      <c r="J548" s="49">
        <v>3210</v>
      </c>
      <c r="K548" s="198">
        <f t="shared" si="127"/>
        <v>100</v>
      </c>
      <c r="L548" s="49"/>
      <c r="M548" s="49"/>
      <c r="N548" s="201"/>
      <c r="O548" s="49">
        <f t="shared" si="130"/>
        <v>3210</v>
      </c>
      <c r="P548" s="49">
        <f t="shared" si="131"/>
        <v>3210</v>
      </c>
      <c r="Q548" s="203">
        <f t="shared" si="128"/>
        <v>100</v>
      </c>
    </row>
    <row r="549" spans="2:17" ht="15" x14ac:dyDescent="0.25">
      <c r="B549" s="72">
        <f t="shared" si="129"/>
        <v>541</v>
      </c>
      <c r="C549" s="15"/>
      <c r="D549" s="15"/>
      <c r="E549" s="15">
        <v>13</v>
      </c>
      <c r="F549" s="50"/>
      <c r="G549" s="15"/>
      <c r="H549" s="15" t="s">
        <v>254</v>
      </c>
      <c r="I549" s="47">
        <f>I550+I551+I552</f>
        <v>37867</v>
      </c>
      <c r="J549" s="47">
        <f>J550+J551+J552</f>
        <v>37867</v>
      </c>
      <c r="K549" s="198">
        <f t="shared" si="127"/>
        <v>100</v>
      </c>
      <c r="L549" s="47">
        <v>0</v>
      </c>
      <c r="M549" s="47">
        <v>0</v>
      </c>
      <c r="N549" s="201"/>
      <c r="O549" s="47">
        <f t="shared" si="130"/>
        <v>37867</v>
      </c>
      <c r="P549" s="47">
        <f t="shared" si="131"/>
        <v>37867</v>
      </c>
      <c r="Q549" s="203">
        <f t="shared" si="128"/>
        <v>100</v>
      </c>
    </row>
    <row r="550" spans="2:17" x14ac:dyDescent="0.2">
      <c r="B550" s="72">
        <f t="shared" si="129"/>
        <v>542</v>
      </c>
      <c r="C550" s="12"/>
      <c r="D550" s="12"/>
      <c r="E550" s="12"/>
      <c r="F550" s="52" t="s">
        <v>163</v>
      </c>
      <c r="G550" s="12">
        <v>610</v>
      </c>
      <c r="H550" s="12" t="s">
        <v>135</v>
      </c>
      <c r="I550" s="49">
        <v>23880</v>
      </c>
      <c r="J550" s="49">
        <v>23880</v>
      </c>
      <c r="K550" s="198">
        <f t="shared" si="127"/>
        <v>100</v>
      </c>
      <c r="L550" s="49"/>
      <c r="M550" s="49"/>
      <c r="N550" s="201"/>
      <c r="O550" s="49">
        <f t="shared" si="130"/>
        <v>23880</v>
      </c>
      <c r="P550" s="49">
        <f t="shared" si="131"/>
        <v>23880</v>
      </c>
      <c r="Q550" s="203">
        <f t="shared" si="128"/>
        <v>100</v>
      </c>
    </row>
    <row r="551" spans="2:17" x14ac:dyDescent="0.2">
      <c r="B551" s="72">
        <f t="shared" si="129"/>
        <v>543</v>
      </c>
      <c r="C551" s="12"/>
      <c r="D551" s="12"/>
      <c r="E551" s="12"/>
      <c r="F551" s="52" t="s">
        <v>163</v>
      </c>
      <c r="G551" s="12">
        <v>620</v>
      </c>
      <c r="H551" s="12" t="s">
        <v>130</v>
      </c>
      <c r="I551" s="49">
        <v>8348</v>
      </c>
      <c r="J551" s="49">
        <v>8348</v>
      </c>
      <c r="K551" s="198">
        <f t="shared" si="127"/>
        <v>100</v>
      </c>
      <c r="L551" s="49"/>
      <c r="M551" s="49"/>
      <c r="N551" s="201"/>
      <c r="O551" s="49">
        <f t="shared" si="130"/>
        <v>8348</v>
      </c>
      <c r="P551" s="49">
        <f t="shared" si="131"/>
        <v>8348</v>
      </c>
      <c r="Q551" s="203">
        <f t="shared" si="128"/>
        <v>100</v>
      </c>
    </row>
    <row r="552" spans="2:17" x14ac:dyDescent="0.2">
      <c r="B552" s="72">
        <f t="shared" si="129"/>
        <v>544</v>
      </c>
      <c r="C552" s="12"/>
      <c r="D552" s="12"/>
      <c r="E552" s="12"/>
      <c r="F552" s="52" t="s">
        <v>163</v>
      </c>
      <c r="G552" s="12">
        <v>630</v>
      </c>
      <c r="H552" s="12" t="s">
        <v>127</v>
      </c>
      <c r="I552" s="49">
        <f>I555+I554+I553</f>
        <v>5639</v>
      </c>
      <c r="J552" s="49">
        <f>J555+J554+J553</f>
        <v>5639</v>
      </c>
      <c r="K552" s="198">
        <f t="shared" si="127"/>
        <v>100</v>
      </c>
      <c r="L552" s="49">
        <f>L555+L554+L553</f>
        <v>0</v>
      </c>
      <c r="M552" s="49">
        <f>M555+M554+M553</f>
        <v>0</v>
      </c>
      <c r="N552" s="201"/>
      <c r="O552" s="49">
        <f t="shared" si="130"/>
        <v>5639</v>
      </c>
      <c r="P552" s="49">
        <f t="shared" si="131"/>
        <v>5639</v>
      </c>
      <c r="Q552" s="203">
        <f t="shared" si="128"/>
        <v>100</v>
      </c>
    </row>
    <row r="553" spans="2:17" x14ac:dyDescent="0.2">
      <c r="B553" s="72">
        <f t="shared" si="129"/>
        <v>545</v>
      </c>
      <c r="C553" s="4"/>
      <c r="D553" s="4"/>
      <c r="E553" s="4"/>
      <c r="F553" s="53" t="s">
        <v>163</v>
      </c>
      <c r="G553" s="4">
        <v>632</v>
      </c>
      <c r="H553" s="4" t="s">
        <v>138</v>
      </c>
      <c r="I553" s="23">
        <f>4865-65</f>
        <v>4800</v>
      </c>
      <c r="J553" s="23">
        <v>4800</v>
      </c>
      <c r="K553" s="198">
        <f t="shared" si="127"/>
        <v>100</v>
      </c>
      <c r="L553" s="23"/>
      <c r="M553" s="23"/>
      <c r="N553" s="201"/>
      <c r="O553" s="23">
        <f t="shared" si="130"/>
        <v>4800</v>
      </c>
      <c r="P553" s="23">
        <f t="shared" si="131"/>
        <v>4800</v>
      </c>
      <c r="Q553" s="203">
        <f t="shared" si="128"/>
        <v>100</v>
      </c>
    </row>
    <row r="554" spans="2:17" x14ac:dyDescent="0.2">
      <c r="B554" s="72">
        <f t="shared" si="129"/>
        <v>546</v>
      </c>
      <c r="C554" s="4"/>
      <c r="D554" s="4"/>
      <c r="E554" s="4"/>
      <c r="F554" s="53" t="s">
        <v>163</v>
      </c>
      <c r="G554" s="4">
        <v>633</v>
      </c>
      <c r="H554" s="4" t="s">
        <v>131</v>
      </c>
      <c r="I554" s="23">
        <f>122+65</f>
        <v>187</v>
      </c>
      <c r="J554" s="23">
        <v>187</v>
      </c>
      <c r="K554" s="198">
        <f t="shared" si="127"/>
        <v>100</v>
      </c>
      <c r="L554" s="23"/>
      <c r="M554" s="23"/>
      <c r="N554" s="201"/>
      <c r="O554" s="23">
        <f t="shared" si="130"/>
        <v>187</v>
      </c>
      <c r="P554" s="23">
        <f t="shared" si="131"/>
        <v>187</v>
      </c>
      <c r="Q554" s="203">
        <f t="shared" si="128"/>
        <v>100</v>
      </c>
    </row>
    <row r="555" spans="2:17" x14ac:dyDescent="0.2">
      <c r="B555" s="72">
        <f t="shared" si="129"/>
        <v>547</v>
      </c>
      <c r="C555" s="4"/>
      <c r="D555" s="4"/>
      <c r="E555" s="4"/>
      <c r="F555" s="53" t="s">
        <v>163</v>
      </c>
      <c r="G555" s="4">
        <v>637</v>
      </c>
      <c r="H555" s="4" t="s">
        <v>128</v>
      </c>
      <c r="I555" s="23">
        <f>602+50</f>
        <v>652</v>
      </c>
      <c r="J555" s="23">
        <v>652</v>
      </c>
      <c r="K555" s="198">
        <f t="shared" si="127"/>
        <v>100</v>
      </c>
      <c r="L555" s="23"/>
      <c r="M555" s="23"/>
      <c r="N555" s="201"/>
      <c r="O555" s="23">
        <f t="shared" si="130"/>
        <v>652</v>
      </c>
      <c r="P555" s="23">
        <f t="shared" si="131"/>
        <v>652</v>
      </c>
      <c r="Q555" s="203">
        <f t="shared" si="128"/>
        <v>100</v>
      </c>
    </row>
    <row r="556" spans="2:17" ht="15" x14ac:dyDescent="0.25">
      <c r="B556" s="72">
        <f t="shared" si="129"/>
        <v>548</v>
      </c>
      <c r="C556" s="15"/>
      <c r="D556" s="15"/>
      <c r="E556" s="15">
        <v>14</v>
      </c>
      <c r="F556" s="50"/>
      <c r="G556" s="15"/>
      <c r="H556" s="15" t="s">
        <v>264</v>
      </c>
      <c r="I556" s="47">
        <f>I557+I558+I559+I566</f>
        <v>849706</v>
      </c>
      <c r="J556" s="47">
        <f>J557+J558+J559+J566</f>
        <v>849697</v>
      </c>
      <c r="K556" s="198">
        <f t="shared" ref="K556:K566" si="132">J556/I556*100</f>
        <v>99.998940810115499</v>
      </c>
      <c r="L556" s="47">
        <f>L567</f>
        <v>4000</v>
      </c>
      <c r="M556" s="47">
        <f>M567</f>
        <v>4000</v>
      </c>
      <c r="N556" s="201">
        <f t="shared" ref="N556:N577" si="133">M556/L556*100</f>
        <v>100</v>
      </c>
      <c r="O556" s="47">
        <f t="shared" si="130"/>
        <v>853706</v>
      </c>
      <c r="P556" s="47">
        <f t="shared" si="131"/>
        <v>853697</v>
      </c>
      <c r="Q556" s="203">
        <f t="shared" ref="Q556:Q572" si="134">P556/O556*100</f>
        <v>99.99894577290074</v>
      </c>
    </row>
    <row r="557" spans="2:17" x14ac:dyDescent="0.2">
      <c r="B557" s="72">
        <f t="shared" si="129"/>
        <v>549</v>
      </c>
      <c r="C557" s="12"/>
      <c r="D557" s="12"/>
      <c r="E557" s="12"/>
      <c r="F557" s="52" t="s">
        <v>163</v>
      </c>
      <c r="G557" s="12">
        <v>610</v>
      </c>
      <c r="H557" s="12" t="s">
        <v>135</v>
      </c>
      <c r="I557" s="49">
        <f>547819+16000+527</f>
        <v>564346</v>
      </c>
      <c r="J557" s="49">
        <v>564346</v>
      </c>
      <c r="K557" s="198">
        <f t="shared" si="132"/>
        <v>100</v>
      </c>
      <c r="L557" s="49"/>
      <c r="M557" s="49"/>
      <c r="N557" s="201"/>
      <c r="O557" s="49">
        <f t="shared" si="130"/>
        <v>564346</v>
      </c>
      <c r="P557" s="49">
        <f t="shared" si="131"/>
        <v>564346</v>
      </c>
      <c r="Q557" s="203">
        <f t="shared" si="134"/>
        <v>100</v>
      </c>
    </row>
    <row r="558" spans="2:17" x14ac:dyDescent="0.2">
      <c r="B558" s="72">
        <f t="shared" si="129"/>
        <v>550</v>
      </c>
      <c r="C558" s="12"/>
      <c r="D558" s="12"/>
      <c r="E558" s="12"/>
      <c r="F558" s="52" t="s">
        <v>163</v>
      </c>
      <c r="G558" s="12">
        <v>620</v>
      </c>
      <c r="H558" s="12" t="s">
        <v>130</v>
      </c>
      <c r="I558" s="49">
        <f>191327+5194-527</f>
        <v>195994</v>
      </c>
      <c r="J558" s="49">
        <v>195994</v>
      </c>
      <c r="K558" s="198">
        <f t="shared" si="132"/>
        <v>100</v>
      </c>
      <c r="L558" s="49"/>
      <c r="M558" s="49"/>
      <c r="N558" s="201"/>
      <c r="O558" s="49">
        <f t="shared" si="130"/>
        <v>195994</v>
      </c>
      <c r="P558" s="49">
        <f t="shared" si="131"/>
        <v>195994</v>
      </c>
      <c r="Q558" s="203">
        <f t="shared" si="134"/>
        <v>100</v>
      </c>
    </row>
    <row r="559" spans="2:17" x14ac:dyDescent="0.2">
      <c r="B559" s="72">
        <f t="shared" si="129"/>
        <v>551</v>
      </c>
      <c r="C559" s="12"/>
      <c r="D559" s="12"/>
      <c r="E559" s="12"/>
      <c r="F559" s="52" t="s">
        <v>163</v>
      </c>
      <c r="G559" s="12">
        <v>630</v>
      </c>
      <c r="H559" s="12" t="s">
        <v>127</v>
      </c>
      <c r="I559" s="49">
        <f>I565+I564+I563+I562+I561+I560</f>
        <v>84242</v>
      </c>
      <c r="J559" s="49">
        <f>J565+J564+J563+J562+J561+J560</f>
        <v>84233</v>
      </c>
      <c r="K559" s="198">
        <f t="shared" si="132"/>
        <v>99.989316492960754</v>
      </c>
      <c r="L559" s="49">
        <f>L565+L564+L563+L562+L561+L560</f>
        <v>0</v>
      </c>
      <c r="M559" s="49">
        <f>M565+M564+M563+M562+M561+M560</f>
        <v>0</v>
      </c>
      <c r="N559" s="201"/>
      <c r="O559" s="49">
        <f t="shared" si="130"/>
        <v>84242</v>
      </c>
      <c r="P559" s="49">
        <f t="shared" si="131"/>
        <v>84233</v>
      </c>
      <c r="Q559" s="203">
        <f t="shared" si="134"/>
        <v>99.989316492960754</v>
      </c>
    </row>
    <row r="560" spans="2:17" x14ac:dyDescent="0.2">
      <c r="B560" s="72">
        <f t="shared" si="129"/>
        <v>552</v>
      </c>
      <c r="C560" s="4"/>
      <c r="D560" s="4"/>
      <c r="E560" s="4"/>
      <c r="F560" s="53" t="s">
        <v>163</v>
      </c>
      <c r="G560" s="4">
        <v>631</v>
      </c>
      <c r="H560" s="4" t="s">
        <v>133</v>
      </c>
      <c r="I560" s="23">
        <f>408-108-163</f>
        <v>137</v>
      </c>
      <c r="J560" s="23">
        <v>137</v>
      </c>
      <c r="K560" s="198">
        <f t="shared" si="132"/>
        <v>100</v>
      </c>
      <c r="L560" s="23"/>
      <c r="M560" s="23"/>
      <c r="N560" s="201"/>
      <c r="O560" s="23">
        <f t="shared" si="130"/>
        <v>137</v>
      </c>
      <c r="P560" s="23">
        <f t="shared" si="131"/>
        <v>137</v>
      </c>
      <c r="Q560" s="203">
        <f t="shared" si="134"/>
        <v>100</v>
      </c>
    </row>
    <row r="561" spans="2:17" x14ac:dyDescent="0.2">
      <c r="B561" s="72">
        <f t="shared" si="129"/>
        <v>553</v>
      </c>
      <c r="C561" s="4"/>
      <c r="D561" s="4"/>
      <c r="E561" s="4"/>
      <c r="F561" s="53" t="s">
        <v>163</v>
      </c>
      <c r="G561" s="4">
        <v>632</v>
      </c>
      <c r="H561" s="4" t="s">
        <v>138</v>
      </c>
      <c r="I561" s="23">
        <f>40066-16466-282</f>
        <v>23318</v>
      </c>
      <c r="J561" s="23">
        <v>23319</v>
      </c>
      <c r="K561" s="198">
        <f t="shared" si="132"/>
        <v>100.00428853246419</v>
      </c>
      <c r="L561" s="23"/>
      <c r="M561" s="23"/>
      <c r="N561" s="201"/>
      <c r="O561" s="23">
        <f t="shared" si="130"/>
        <v>23318</v>
      </c>
      <c r="P561" s="23">
        <f t="shared" si="131"/>
        <v>23319</v>
      </c>
      <c r="Q561" s="203">
        <f t="shared" si="134"/>
        <v>100.00428853246419</v>
      </c>
    </row>
    <row r="562" spans="2:17" x14ac:dyDescent="0.2">
      <c r="B562" s="72">
        <f t="shared" si="129"/>
        <v>554</v>
      </c>
      <c r="C562" s="4"/>
      <c r="D562" s="4"/>
      <c r="E562" s="4"/>
      <c r="F562" s="53" t="s">
        <v>163</v>
      </c>
      <c r="G562" s="4">
        <v>633</v>
      </c>
      <c r="H562" s="4" t="s">
        <v>131</v>
      </c>
      <c r="I562" s="23">
        <f>16035-535-257</f>
        <v>15243</v>
      </c>
      <c r="J562" s="23">
        <v>15243</v>
      </c>
      <c r="K562" s="198">
        <f t="shared" si="132"/>
        <v>100</v>
      </c>
      <c r="L562" s="23"/>
      <c r="M562" s="23"/>
      <c r="N562" s="201"/>
      <c r="O562" s="23">
        <f t="shared" si="130"/>
        <v>15243</v>
      </c>
      <c r="P562" s="23">
        <f t="shared" si="131"/>
        <v>15243</v>
      </c>
      <c r="Q562" s="203">
        <f t="shared" si="134"/>
        <v>100</v>
      </c>
    </row>
    <row r="563" spans="2:17" x14ac:dyDescent="0.2">
      <c r="B563" s="72">
        <f t="shared" si="129"/>
        <v>555</v>
      </c>
      <c r="C563" s="4"/>
      <c r="D563" s="4"/>
      <c r="E563" s="4"/>
      <c r="F563" s="53" t="s">
        <v>163</v>
      </c>
      <c r="G563" s="4">
        <v>635</v>
      </c>
      <c r="H563" s="4" t="s">
        <v>137</v>
      </c>
      <c r="I563" s="23">
        <f>4733-2033-169</f>
        <v>2531</v>
      </c>
      <c r="J563" s="23">
        <v>2531</v>
      </c>
      <c r="K563" s="198">
        <f t="shared" si="132"/>
        <v>100</v>
      </c>
      <c r="L563" s="23"/>
      <c r="M563" s="23"/>
      <c r="N563" s="201"/>
      <c r="O563" s="23">
        <f t="shared" si="130"/>
        <v>2531</v>
      </c>
      <c r="P563" s="23">
        <f t="shared" si="131"/>
        <v>2531</v>
      </c>
      <c r="Q563" s="203">
        <f t="shared" si="134"/>
        <v>100</v>
      </c>
    </row>
    <row r="564" spans="2:17" x14ac:dyDescent="0.2">
      <c r="B564" s="72">
        <f t="shared" si="129"/>
        <v>556</v>
      </c>
      <c r="C564" s="4"/>
      <c r="D564" s="4"/>
      <c r="E564" s="4"/>
      <c r="F564" s="53" t="s">
        <v>163</v>
      </c>
      <c r="G564" s="4">
        <v>636</v>
      </c>
      <c r="H564" s="4" t="s">
        <v>132</v>
      </c>
      <c r="I564" s="23">
        <f>102-35</f>
        <v>67</v>
      </c>
      <c r="J564" s="23">
        <v>67</v>
      </c>
      <c r="K564" s="198">
        <f t="shared" si="132"/>
        <v>100</v>
      </c>
      <c r="L564" s="23"/>
      <c r="M564" s="23"/>
      <c r="N564" s="201"/>
      <c r="O564" s="23">
        <f t="shared" si="130"/>
        <v>67</v>
      </c>
      <c r="P564" s="23">
        <f t="shared" si="131"/>
        <v>67</v>
      </c>
      <c r="Q564" s="203">
        <f t="shared" si="134"/>
        <v>100</v>
      </c>
    </row>
    <row r="565" spans="2:17" x14ac:dyDescent="0.2">
      <c r="B565" s="72">
        <f t="shared" si="129"/>
        <v>557</v>
      </c>
      <c r="C565" s="4"/>
      <c r="D565" s="4"/>
      <c r="E565" s="4"/>
      <c r="F565" s="53" t="s">
        <v>163</v>
      </c>
      <c r="G565" s="4">
        <v>637</v>
      </c>
      <c r="H565" s="4" t="s">
        <v>128</v>
      </c>
      <c r="I565" s="23">
        <f>36026+6354+566</f>
        <v>42946</v>
      </c>
      <c r="J565" s="23">
        <v>42936</v>
      </c>
      <c r="K565" s="198">
        <f t="shared" si="132"/>
        <v>99.976714944348714</v>
      </c>
      <c r="L565" s="23"/>
      <c r="M565" s="23"/>
      <c r="N565" s="201"/>
      <c r="O565" s="23">
        <f t="shared" si="130"/>
        <v>42946</v>
      </c>
      <c r="P565" s="23">
        <f t="shared" si="131"/>
        <v>42936</v>
      </c>
      <c r="Q565" s="203">
        <f t="shared" si="134"/>
        <v>99.976714944348714</v>
      </c>
    </row>
    <row r="566" spans="2:17" x14ac:dyDescent="0.2">
      <c r="B566" s="72">
        <f t="shared" si="129"/>
        <v>558</v>
      </c>
      <c r="C566" s="12"/>
      <c r="D566" s="12"/>
      <c r="E566" s="12"/>
      <c r="F566" s="52" t="s">
        <v>163</v>
      </c>
      <c r="G566" s="12">
        <v>640</v>
      </c>
      <c r="H566" s="12" t="s">
        <v>134</v>
      </c>
      <c r="I566" s="49">
        <f>6630+3650-5461+305</f>
        <v>5124</v>
      </c>
      <c r="J566" s="49">
        <v>5124</v>
      </c>
      <c r="K566" s="198">
        <f t="shared" si="132"/>
        <v>100</v>
      </c>
      <c r="L566" s="49"/>
      <c r="M566" s="49"/>
      <c r="N566" s="201"/>
      <c r="O566" s="49">
        <f t="shared" si="130"/>
        <v>5124</v>
      </c>
      <c r="P566" s="49">
        <f t="shared" si="131"/>
        <v>5124</v>
      </c>
      <c r="Q566" s="203">
        <f t="shared" si="134"/>
        <v>100</v>
      </c>
    </row>
    <row r="567" spans="2:17" x14ac:dyDescent="0.2">
      <c r="B567" s="72">
        <f t="shared" si="129"/>
        <v>559</v>
      </c>
      <c r="C567" s="12"/>
      <c r="D567" s="12"/>
      <c r="E567" s="12"/>
      <c r="F567" s="82" t="s">
        <v>163</v>
      </c>
      <c r="G567" s="83">
        <v>717</v>
      </c>
      <c r="H567" s="83" t="s">
        <v>193</v>
      </c>
      <c r="I567" s="84"/>
      <c r="J567" s="84"/>
      <c r="K567" s="198"/>
      <c r="L567" s="84">
        <f>L568</f>
        <v>4000</v>
      </c>
      <c r="M567" s="84">
        <f>M568</f>
        <v>4000</v>
      </c>
      <c r="N567" s="201">
        <f t="shared" si="133"/>
        <v>100</v>
      </c>
      <c r="O567" s="84">
        <f t="shared" si="130"/>
        <v>4000</v>
      </c>
      <c r="P567" s="84">
        <f t="shared" si="131"/>
        <v>4000</v>
      </c>
      <c r="Q567" s="203">
        <f t="shared" si="134"/>
        <v>100</v>
      </c>
    </row>
    <row r="568" spans="2:17" x14ac:dyDescent="0.2">
      <c r="B568" s="72">
        <f t="shared" si="129"/>
        <v>560</v>
      </c>
      <c r="C568" s="12"/>
      <c r="D568" s="12"/>
      <c r="E568" s="12"/>
      <c r="F568" s="64" t="s">
        <v>163</v>
      </c>
      <c r="G568" s="60">
        <v>717</v>
      </c>
      <c r="H568" s="60" t="s">
        <v>632</v>
      </c>
      <c r="I568" s="58"/>
      <c r="J568" s="58"/>
      <c r="K568" s="198"/>
      <c r="L568" s="58">
        <v>4000</v>
      </c>
      <c r="M568" s="58">
        <v>4000</v>
      </c>
      <c r="N568" s="201">
        <f t="shared" si="133"/>
        <v>100</v>
      </c>
      <c r="O568" s="58">
        <f t="shared" si="130"/>
        <v>4000</v>
      </c>
      <c r="P568" s="58">
        <f t="shared" si="131"/>
        <v>4000</v>
      </c>
      <c r="Q568" s="203">
        <f t="shared" si="134"/>
        <v>100</v>
      </c>
    </row>
    <row r="569" spans="2:17" ht="15" x14ac:dyDescent="0.2">
      <c r="B569" s="72">
        <f t="shared" si="129"/>
        <v>561</v>
      </c>
      <c r="C569" s="179">
        <v>4</v>
      </c>
      <c r="D569" s="257" t="s">
        <v>166</v>
      </c>
      <c r="E569" s="253"/>
      <c r="F569" s="253"/>
      <c r="G569" s="253"/>
      <c r="H569" s="254"/>
      <c r="I569" s="45">
        <f>I570+I577+I686+I704+I726+I743+I759+I780+I803+I721</f>
        <v>1201215</v>
      </c>
      <c r="J569" s="45">
        <f>J570+J577+J686+J704+J726+J743+J759+J780+J803+J721</f>
        <v>1199193</v>
      </c>
      <c r="K569" s="198">
        <f>J569/I569*100</f>
        <v>99.831670433685886</v>
      </c>
      <c r="L569" s="45">
        <f>L570+L577+L686+L704+L726+L743+L759+L780+L803+L721</f>
        <v>68236</v>
      </c>
      <c r="M569" s="45">
        <f>M570+M577+M686+M704+M726+M743+M759+M780+M803+M721</f>
        <v>31842</v>
      </c>
      <c r="N569" s="203">
        <f t="shared" si="133"/>
        <v>46.664517263614513</v>
      </c>
      <c r="O569" s="45">
        <f t="shared" si="130"/>
        <v>1269451</v>
      </c>
      <c r="P569" s="45">
        <f t="shared" si="131"/>
        <v>1231035</v>
      </c>
      <c r="Q569" s="203">
        <f t="shared" si="134"/>
        <v>96.973809938311916</v>
      </c>
    </row>
    <row r="570" spans="2:17" x14ac:dyDescent="0.2">
      <c r="B570" s="72">
        <f t="shared" si="129"/>
        <v>562</v>
      </c>
      <c r="C570" s="12"/>
      <c r="D570" s="12"/>
      <c r="E570" s="12"/>
      <c r="F570" s="52" t="s">
        <v>165</v>
      </c>
      <c r="G570" s="12">
        <v>640</v>
      </c>
      <c r="H570" s="12" t="s">
        <v>134</v>
      </c>
      <c r="I570" s="49">
        <f>SUM(I571:I576)</f>
        <v>59480</v>
      </c>
      <c r="J570" s="49">
        <f>SUM(J571:J576)</f>
        <v>59480</v>
      </c>
      <c r="K570" s="198">
        <f>J570/I570*100</f>
        <v>100</v>
      </c>
      <c r="L570" s="49"/>
      <c r="M570" s="49"/>
      <c r="N570" s="201"/>
      <c r="O570" s="49">
        <f t="shared" si="130"/>
        <v>59480</v>
      </c>
      <c r="P570" s="49">
        <f t="shared" si="131"/>
        <v>59480</v>
      </c>
      <c r="Q570" s="203">
        <f t="shared" si="134"/>
        <v>100</v>
      </c>
    </row>
    <row r="571" spans="2:17" x14ac:dyDescent="0.2">
      <c r="B571" s="72">
        <f t="shared" si="129"/>
        <v>563</v>
      </c>
      <c r="C571" s="12"/>
      <c r="D571" s="12"/>
      <c r="E571" s="12"/>
      <c r="F571" s="52"/>
      <c r="G571" s="12"/>
      <c r="H571" s="60" t="s">
        <v>374</v>
      </c>
      <c r="I571" s="58">
        <v>24921</v>
      </c>
      <c r="J571" s="58">
        <v>24921</v>
      </c>
      <c r="K571" s="198">
        <f>J571/I571*100</f>
        <v>100</v>
      </c>
      <c r="L571" s="58"/>
      <c r="M571" s="58"/>
      <c r="N571" s="201"/>
      <c r="O571" s="58">
        <f t="shared" si="130"/>
        <v>24921</v>
      </c>
      <c r="P571" s="58">
        <f t="shared" si="131"/>
        <v>24921</v>
      </c>
      <c r="Q571" s="203">
        <f t="shared" si="134"/>
        <v>100</v>
      </c>
    </row>
    <row r="572" spans="2:17" x14ac:dyDescent="0.2">
      <c r="B572" s="72">
        <f t="shared" si="129"/>
        <v>564</v>
      </c>
      <c r="C572" s="12"/>
      <c r="D572" s="12"/>
      <c r="E572" s="12"/>
      <c r="F572" s="52"/>
      <c r="G572" s="12"/>
      <c r="H572" s="60" t="s">
        <v>375</v>
      </c>
      <c r="I572" s="58">
        <v>20239</v>
      </c>
      <c r="J572" s="58">
        <v>20239</v>
      </c>
      <c r="K572" s="198">
        <f>J572/I572*100</f>
        <v>100</v>
      </c>
      <c r="L572" s="58"/>
      <c r="M572" s="58"/>
      <c r="N572" s="201"/>
      <c r="O572" s="58">
        <f t="shared" si="130"/>
        <v>20239</v>
      </c>
      <c r="P572" s="58">
        <f t="shared" si="131"/>
        <v>20239</v>
      </c>
      <c r="Q572" s="203">
        <f t="shared" si="134"/>
        <v>100</v>
      </c>
    </row>
    <row r="573" spans="2:17" x14ac:dyDescent="0.2">
      <c r="B573" s="72">
        <f t="shared" si="129"/>
        <v>565</v>
      </c>
      <c r="C573" s="12"/>
      <c r="D573" s="12"/>
      <c r="E573" s="12"/>
      <c r="F573" s="52"/>
      <c r="G573" s="12"/>
      <c r="H573" s="60" t="s">
        <v>376</v>
      </c>
      <c r="I573" s="58">
        <f>6334-6334</f>
        <v>0</v>
      </c>
      <c r="J573" s="58"/>
      <c r="K573" s="198"/>
      <c r="L573" s="58"/>
      <c r="M573" s="58"/>
      <c r="N573" s="201"/>
      <c r="O573" s="58">
        <f t="shared" si="130"/>
        <v>0</v>
      </c>
      <c r="P573" s="58">
        <f t="shared" si="131"/>
        <v>0</v>
      </c>
      <c r="Q573" s="203"/>
    </row>
    <row r="574" spans="2:17" x14ac:dyDescent="0.2">
      <c r="B574" s="72">
        <f t="shared" si="129"/>
        <v>566</v>
      </c>
      <c r="C574" s="12"/>
      <c r="D574" s="12"/>
      <c r="E574" s="12"/>
      <c r="F574" s="52"/>
      <c r="G574" s="12"/>
      <c r="H574" s="60" t="s">
        <v>535</v>
      </c>
      <c r="I574" s="58">
        <v>6334</v>
      </c>
      <c r="J574" s="58">
        <v>6334</v>
      </c>
      <c r="K574" s="198">
        <f t="shared" ref="K574:K605" si="135">J574/I574*100</f>
        <v>100</v>
      </c>
      <c r="L574" s="58"/>
      <c r="M574" s="58"/>
      <c r="N574" s="201"/>
      <c r="O574" s="58"/>
      <c r="P574" s="58"/>
      <c r="Q574" s="203"/>
    </row>
    <row r="575" spans="2:17" x14ac:dyDescent="0.2">
      <c r="B575" s="72">
        <f t="shared" si="129"/>
        <v>567</v>
      </c>
      <c r="C575" s="12"/>
      <c r="D575" s="12"/>
      <c r="E575" s="12"/>
      <c r="F575" s="52"/>
      <c r="G575" s="12"/>
      <c r="H575" s="60" t="s">
        <v>247</v>
      </c>
      <c r="I575" s="58">
        <v>6609</v>
      </c>
      <c r="J575" s="58">
        <v>6609</v>
      </c>
      <c r="K575" s="198">
        <f t="shared" si="135"/>
        <v>100</v>
      </c>
      <c r="L575" s="58"/>
      <c r="M575" s="58"/>
      <c r="N575" s="201"/>
      <c r="O575" s="58">
        <f t="shared" ref="O575:O606" si="136">L575+I575</f>
        <v>6609</v>
      </c>
      <c r="P575" s="58">
        <f t="shared" ref="P575:P606" si="137">M575+J575</f>
        <v>6609</v>
      </c>
      <c r="Q575" s="203">
        <f t="shared" ref="Q575:Q606" si="138">P575/O575*100</f>
        <v>100</v>
      </c>
    </row>
    <row r="576" spans="2:17" x14ac:dyDescent="0.2">
      <c r="B576" s="72">
        <f t="shared" si="129"/>
        <v>568</v>
      </c>
      <c r="C576" s="12"/>
      <c r="D576" s="12"/>
      <c r="E576" s="12"/>
      <c r="F576" s="52"/>
      <c r="G576" s="12"/>
      <c r="H576" s="60" t="s">
        <v>291</v>
      </c>
      <c r="I576" s="58">
        <v>1377</v>
      </c>
      <c r="J576" s="58">
        <v>1377</v>
      </c>
      <c r="K576" s="198">
        <f t="shared" si="135"/>
        <v>100</v>
      </c>
      <c r="L576" s="58"/>
      <c r="M576" s="58"/>
      <c r="N576" s="201"/>
      <c r="O576" s="58">
        <f t="shared" si="136"/>
        <v>1377</v>
      </c>
      <c r="P576" s="58">
        <f t="shared" si="137"/>
        <v>1377</v>
      </c>
      <c r="Q576" s="203">
        <f t="shared" si="138"/>
        <v>100</v>
      </c>
    </row>
    <row r="577" spans="2:17" ht="15" x14ac:dyDescent="0.25">
      <c r="B577" s="72">
        <f t="shared" si="129"/>
        <v>569</v>
      </c>
      <c r="C577" s="15"/>
      <c r="D577" s="15"/>
      <c r="E577" s="15">
        <v>4</v>
      </c>
      <c r="F577" s="50"/>
      <c r="G577" s="15"/>
      <c r="H577" s="15" t="s">
        <v>84</v>
      </c>
      <c r="I577" s="47">
        <f>I675+I668+I660+I653+I646+I638+I631+I623+I615+I608+I601+I593+I585+I578</f>
        <v>396247</v>
      </c>
      <c r="J577" s="47">
        <f>J675+J668+J660+J653+J646+J638+J631+J623+J615+J608+J601+J593+J585+J578</f>
        <v>394260</v>
      </c>
      <c r="K577" s="198">
        <f t="shared" si="135"/>
        <v>99.498545099395074</v>
      </c>
      <c r="L577" s="47">
        <f>L675+L668+L660+L653+L646+L638+L631+L623+L615+L608+L601+L593+L585+L578</f>
        <v>2636</v>
      </c>
      <c r="M577" s="47">
        <f>M675+M668+M660+M653+M646+M638+M631+M623+M615+M608+M601+M593+M585+M578</f>
        <v>2636</v>
      </c>
      <c r="N577" s="201">
        <f t="shared" si="133"/>
        <v>100</v>
      </c>
      <c r="O577" s="47">
        <f t="shared" si="136"/>
        <v>398883</v>
      </c>
      <c r="P577" s="47">
        <f t="shared" si="137"/>
        <v>396896</v>
      </c>
      <c r="Q577" s="203">
        <f t="shared" si="138"/>
        <v>99.501858941093005</v>
      </c>
    </row>
    <row r="578" spans="2:17" x14ac:dyDescent="0.2">
      <c r="B578" s="72">
        <f t="shared" si="129"/>
        <v>570</v>
      </c>
      <c r="C578" s="11"/>
      <c r="D578" s="11"/>
      <c r="E578" s="11" t="s">
        <v>94</v>
      </c>
      <c r="F578" s="51"/>
      <c r="G578" s="11"/>
      <c r="H578" s="11" t="s">
        <v>63</v>
      </c>
      <c r="I578" s="48">
        <f>I579+I580+I581</f>
        <v>20430</v>
      </c>
      <c r="J578" s="48">
        <f>J579+J580+J581</f>
        <v>20109</v>
      </c>
      <c r="K578" s="198">
        <f t="shared" si="135"/>
        <v>98.428781204111601</v>
      </c>
      <c r="L578" s="48">
        <f>L581+L580+L579</f>
        <v>0</v>
      </c>
      <c r="M578" s="48">
        <f>M581+M580+M579</f>
        <v>0</v>
      </c>
      <c r="N578" s="201"/>
      <c r="O578" s="48">
        <f t="shared" si="136"/>
        <v>20430</v>
      </c>
      <c r="P578" s="48">
        <f t="shared" si="137"/>
        <v>20109</v>
      </c>
      <c r="Q578" s="203">
        <f t="shared" si="138"/>
        <v>98.428781204111601</v>
      </c>
    </row>
    <row r="579" spans="2:17" x14ac:dyDescent="0.2">
      <c r="B579" s="72">
        <f t="shared" si="129"/>
        <v>571</v>
      </c>
      <c r="C579" s="12"/>
      <c r="D579" s="12"/>
      <c r="E579" s="12"/>
      <c r="F579" s="52" t="s">
        <v>165</v>
      </c>
      <c r="G579" s="12">
        <v>610</v>
      </c>
      <c r="H579" s="12" t="s">
        <v>135</v>
      </c>
      <c r="I579" s="49">
        <f>11600+1400+160</f>
        <v>13160</v>
      </c>
      <c r="J579" s="49">
        <v>13160</v>
      </c>
      <c r="K579" s="198">
        <f t="shared" si="135"/>
        <v>100</v>
      </c>
      <c r="L579" s="49"/>
      <c r="M579" s="49"/>
      <c r="N579" s="201"/>
      <c r="O579" s="49">
        <f t="shared" si="136"/>
        <v>13160</v>
      </c>
      <c r="P579" s="49">
        <f t="shared" si="137"/>
        <v>13160</v>
      </c>
      <c r="Q579" s="203">
        <f t="shared" si="138"/>
        <v>100</v>
      </c>
    </row>
    <row r="580" spans="2:17" x14ac:dyDescent="0.2">
      <c r="B580" s="72">
        <f t="shared" si="129"/>
        <v>572</v>
      </c>
      <c r="C580" s="12"/>
      <c r="D580" s="12"/>
      <c r="E580" s="12"/>
      <c r="F580" s="52" t="s">
        <v>165</v>
      </c>
      <c r="G580" s="12">
        <v>620</v>
      </c>
      <c r="H580" s="12" t="s">
        <v>130</v>
      </c>
      <c r="I580" s="49">
        <f>4310+500-160</f>
        <v>4650</v>
      </c>
      <c r="J580" s="49">
        <v>4650</v>
      </c>
      <c r="K580" s="198">
        <f t="shared" si="135"/>
        <v>100</v>
      </c>
      <c r="L580" s="49"/>
      <c r="M580" s="49"/>
      <c r="N580" s="201"/>
      <c r="O580" s="49">
        <f t="shared" si="136"/>
        <v>4650</v>
      </c>
      <c r="P580" s="49">
        <f t="shared" si="137"/>
        <v>4650</v>
      </c>
      <c r="Q580" s="203">
        <f t="shared" si="138"/>
        <v>100</v>
      </c>
    </row>
    <row r="581" spans="2:17" x14ac:dyDescent="0.2">
      <c r="B581" s="72">
        <f t="shared" si="129"/>
        <v>573</v>
      </c>
      <c r="C581" s="12"/>
      <c r="D581" s="12"/>
      <c r="E581" s="12"/>
      <c r="F581" s="52" t="s">
        <v>165</v>
      </c>
      <c r="G581" s="12">
        <v>630</v>
      </c>
      <c r="H581" s="12" t="s">
        <v>127</v>
      </c>
      <c r="I581" s="49">
        <f>I584+I583+I582</f>
        <v>2620</v>
      </c>
      <c r="J581" s="49">
        <f>J584+J583+J582</f>
        <v>2299</v>
      </c>
      <c r="K581" s="198">
        <f t="shared" si="135"/>
        <v>87.748091603053439</v>
      </c>
      <c r="L581" s="49">
        <f>L584+L583+L582</f>
        <v>0</v>
      </c>
      <c r="M581" s="49">
        <f>M584+M583+M582</f>
        <v>0</v>
      </c>
      <c r="N581" s="201"/>
      <c r="O581" s="49">
        <f t="shared" si="136"/>
        <v>2620</v>
      </c>
      <c r="P581" s="49">
        <f t="shared" si="137"/>
        <v>2299</v>
      </c>
      <c r="Q581" s="203">
        <f t="shared" si="138"/>
        <v>87.748091603053439</v>
      </c>
    </row>
    <row r="582" spans="2:17" x14ac:dyDescent="0.2">
      <c r="B582" s="72">
        <f t="shared" si="129"/>
        <v>574</v>
      </c>
      <c r="C582" s="4"/>
      <c r="D582" s="4"/>
      <c r="E582" s="4"/>
      <c r="F582" s="53" t="s">
        <v>165</v>
      </c>
      <c r="G582" s="4">
        <v>633</v>
      </c>
      <c r="H582" s="4" t="s">
        <v>131</v>
      </c>
      <c r="I582" s="23">
        <f>1650+400</f>
        <v>2050</v>
      </c>
      <c r="J582" s="23">
        <v>1803</v>
      </c>
      <c r="K582" s="198">
        <f t="shared" si="135"/>
        <v>87.951219512195124</v>
      </c>
      <c r="L582" s="23"/>
      <c r="M582" s="23"/>
      <c r="N582" s="201"/>
      <c r="O582" s="23">
        <f t="shared" si="136"/>
        <v>2050</v>
      </c>
      <c r="P582" s="23">
        <f t="shared" si="137"/>
        <v>1803</v>
      </c>
      <c r="Q582" s="203">
        <f t="shared" si="138"/>
        <v>87.951219512195124</v>
      </c>
    </row>
    <row r="583" spans="2:17" x14ac:dyDescent="0.2">
      <c r="B583" s="72">
        <f t="shared" si="129"/>
        <v>575</v>
      </c>
      <c r="C583" s="4"/>
      <c r="D583" s="4"/>
      <c r="E583" s="4"/>
      <c r="F583" s="53" t="s">
        <v>165</v>
      </c>
      <c r="G583" s="4">
        <v>635</v>
      </c>
      <c r="H583" s="4" t="s">
        <v>137</v>
      </c>
      <c r="I583" s="23">
        <v>100</v>
      </c>
      <c r="J583" s="23">
        <v>45</v>
      </c>
      <c r="K583" s="198">
        <f t="shared" si="135"/>
        <v>45</v>
      </c>
      <c r="L583" s="23"/>
      <c r="M583" s="23"/>
      <c r="N583" s="201"/>
      <c r="O583" s="23">
        <f t="shared" si="136"/>
        <v>100</v>
      </c>
      <c r="P583" s="23">
        <f t="shared" si="137"/>
        <v>45</v>
      </c>
      <c r="Q583" s="203">
        <f t="shared" si="138"/>
        <v>45</v>
      </c>
    </row>
    <row r="584" spans="2:17" x14ac:dyDescent="0.2">
      <c r="B584" s="72">
        <f t="shared" si="129"/>
        <v>576</v>
      </c>
      <c r="C584" s="4"/>
      <c r="D584" s="4"/>
      <c r="E584" s="4"/>
      <c r="F584" s="53" t="s">
        <v>165</v>
      </c>
      <c r="G584" s="4">
        <v>637</v>
      </c>
      <c r="H584" s="4" t="s">
        <v>128</v>
      </c>
      <c r="I584" s="23">
        <f>870-400</f>
        <v>470</v>
      </c>
      <c r="J584" s="23">
        <v>451</v>
      </c>
      <c r="K584" s="198">
        <f t="shared" si="135"/>
        <v>95.957446808510639</v>
      </c>
      <c r="L584" s="23"/>
      <c r="M584" s="23"/>
      <c r="N584" s="201"/>
      <c r="O584" s="23">
        <f t="shared" si="136"/>
        <v>470</v>
      </c>
      <c r="P584" s="23">
        <f t="shared" si="137"/>
        <v>451</v>
      </c>
      <c r="Q584" s="203">
        <f t="shared" si="138"/>
        <v>95.957446808510639</v>
      </c>
    </row>
    <row r="585" spans="2:17" x14ac:dyDescent="0.2">
      <c r="B585" s="72">
        <f t="shared" si="129"/>
        <v>577</v>
      </c>
      <c r="C585" s="11"/>
      <c r="D585" s="11"/>
      <c r="E585" s="11" t="s">
        <v>93</v>
      </c>
      <c r="F585" s="51"/>
      <c r="G585" s="11"/>
      <c r="H585" s="11" t="s">
        <v>11</v>
      </c>
      <c r="I585" s="48">
        <f>I588+I587+I586+I592</f>
        <v>25524</v>
      </c>
      <c r="J585" s="48">
        <f>J588+J587+J586+J592</f>
        <v>25524</v>
      </c>
      <c r="K585" s="198">
        <f t="shared" si="135"/>
        <v>100</v>
      </c>
      <c r="L585" s="48">
        <v>0</v>
      </c>
      <c r="M585" s="48"/>
      <c r="N585" s="201"/>
      <c r="O585" s="48">
        <f t="shared" si="136"/>
        <v>25524</v>
      </c>
      <c r="P585" s="48">
        <f t="shared" si="137"/>
        <v>25524</v>
      </c>
      <c r="Q585" s="203">
        <f t="shared" si="138"/>
        <v>100</v>
      </c>
    </row>
    <row r="586" spans="2:17" x14ac:dyDescent="0.2">
      <c r="B586" s="72">
        <f t="shared" si="129"/>
        <v>578</v>
      </c>
      <c r="C586" s="12"/>
      <c r="D586" s="12"/>
      <c r="E586" s="12"/>
      <c r="F586" s="52" t="s">
        <v>165</v>
      </c>
      <c r="G586" s="12">
        <v>610</v>
      </c>
      <c r="H586" s="12" t="s">
        <v>135</v>
      </c>
      <c r="I586" s="49">
        <f>16400+313</f>
        <v>16713</v>
      </c>
      <c r="J586" s="49">
        <v>16713</v>
      </c>
      <c r="K586" s="198">
        <f t="shared" si="135"/>
        <v>100</v>
      </c>
      <c r="L586" s="49"/>
      <c r="M586" s="49"/>
      <c r="N586" s="201"/>
      <c r="O586" s="49">
        <f t="shared" si="136"/>
        <v>16713</v>
      </c>
      <c r="P586" s="49">
        <f t="shared" si="137"/>
        <v>16713</v>
      </c>
      <c r="Q586" s="203">
        <f t="shared" si="138"/>
        <v>100</v>
      </c>
    </row>
    <row r="587" spans="2:17" x14ac:dyDescent="0.2">
      <c r="B587" s="72">
        <f t="shared" si="129"/>
        <v>579</v>
      </c>
      <c r="C587" s="12"/>
      <c r="D587" s="12"/>
      <c r="E587" s="12"/>
      <c r="F587" s="52" t="s">
        <v>165</v>
      </c>
      <c r="G587" s="12">
        <v>620</v>
      </c>
      <c r="H587" s="12" t="s">
        <v>130</v>
      </c>
      <c r="I587" s="49">
        <f>6095-313</f>
        <v>5782</v>
      </c>
      <c r="J587" s="49">
        <v>5782</v>
      </c>
      <c r="K587" s="198">
        <f t="shared" si="135"/>
        <v>100</v>
      </c>
      <c r="L587" s="49"/>
      <c r="M587" s="49"/>
      <c r="N587" s="201"/>
      <c r="O587" s="49">
        <f t="shared" si="136"/>
        <v>5782</v>
      </c>
      <c r="P587" s="49">
        <f t="shared" si="137"/>
        <v>5782</v>
      </c>
      <c r="Q587" s="203">
        <f t="shared" si="138"/>
        <v>100</v>
      </c>
    </row>
    <row r="588" spans="2:17" x14ac:dyDescent="0.2">
      <c r="B588" s="72">
        <f t="shared" si="129"/>
        <v>580</v>
      </c>
      <c r="C588" s="12"/>
      <c r="D588" s="12"/>
      <c r="E588" s="12"/>
      <c r="F588" s="52" t="s">
        <v>165</v>
      </c>
      <c r="G588" s="12">
        <v>630</v>
      </c>
      <c r="H588" s="12" t="s">
        <v>127</v>
      </c>
      <c r="I588" s="49">
        <f>I591+I590+I589</f>
        <v>2962</v>
      </c>
      <c r="J588" s="49">
        <f>J591+J590+J589</f>
        <v>2962</v>
      </c>
      <c r="K588" s="198">
        <f t="shared" si="135"/>
        <v>100</v>
      </c>
      <c r="L588" s="49">
        <f>L591+L590+L589</f>
        <v>0</v>
      </c>
      <c r="M588" s="49">
        <f>M591+M590+M589</f>
        <v>0</v>
      </c>
      <c r="N588" s="201"/>
      <c r="O588" s="49">
        <f t="shared" si="136"/>
        <v>2962</v>
      </c>
      <c r="P588" s="49">
        <f t="shared" si="137"/>
        <v>2962</v>
      </c>
      <c r="Q588" s="203">
        <f t="shared" si="138"/>
        <v>100</v>
      </c>
    </row>
    <row r="589" spans="2:17" x14ac:dyDescent="0.2">
      <c r="B589" s="72">
        <f t="shared" si="129"/>
        <v>581</v>
      </c>
      <c r="C589" s="4"/>
      <c r="D589" s="4"/>
      <c r="E589" s="4"/>
      <c r="F589" s="53" t="s">
        <v>165</v>
      </c>
      <c r="G589" s="4">
        <v>633</v>
      </c>
      <c r="H589" s="4" t="s">
        <v>131</v>
      </c>
      <c r="I589" s="23">
        <f>1550+350+48</f>
        <v>1948</v>
      </c>
      <c r="J589" s="23">
        <v>1944</v>
      </c>
      <c r="K589" s="198">
        <f t="shared" si="135"/>
        <v>99.794661190965101</v>
      </c>
      <c r="L589" s="23"/>
      <c r="M589" s="23"/>
      <c r="N589" s="201"/>
      <c r="O589" s="23">
        <f t="shared" si="136"/>
        <v>1948</v>
      </c>
      <c r="P589" s="23">
        <f t="shared" si="137"/>
        <v>1944</v>
      </c>
      <c r="Q589" s="203">
        <f t="shared" si="138"/>
        <v>99.794661190965101</v>
      </c>
    </row>
    <row r="590" spans="2:17" x14ac:dyDescent="0.2">
      <c r="B590" s="72">
        <f t="shared" si="129"/>
        <v>582</v>
      </c>
      <c r="C590" s="4"/>
      <c r="D590" s="4"/>
      <c r="E590" s="4"/>
      <c r="F590" s="53" t="s">
        <v>165</v>
      </c>
      <c r="G590" s="4">
        <v>635</v>
      </c>
      <c r="H590" s="4" t="s">
        <v>137</v>
      </c>
      <c r="I590" s="23">
        <f>150+355</f>
        <v>505</v>
      </c>
      <c r="J590" s="23">
        <v>505</v>
      </c>
      <c r="K590" s="198">
        <f t="shared" si="135"/>
        <v>100</v>
      </c>
      <c r="L590" s="23"/>
      <c r="M590" s="23"/>
      <c r="N590" s="201"/>
      <c r="O590" s="23">
        <f t="shared" si="136"/>
        <v>505</v>
      </c>
      <c r="P590" s="23">
        <f t="shared" si="137"/>
        <v>505</v>
      </c>
      <c r="Q590" s="203">
        <f t="shared" si="138"/>
        <v>100</v>
      </c>
    </row>
    <row r="591" spans="2:17" x14ac:dyDescent="0.2">
      <c r="B591" s="72">
        <f t="shared" si="129"/>
        <v>583</v>
      </c>
      <c r="C591" s="4"/>
      <c r="D591" s="4"/>
      <c r="E591" s="4"/>
      <c r="F591" s="53" t="s">
        <v>165</v>
      </c>
      <c r="G591" s="4">
        <v>637</v>
      </c>
      <c r="H591" s="4" t="s">
        <v>128</v>
      </c>
      <c r="I591" s="23">
        <f>965-350-106</f>
        <v>509</v>
      </c>
      <c r="J591" s="23">
        <v>513</v>
      </c>
      <c r="K591" s="198">
        <f t="shared" si="135"/>
        <v>100.78585461689586</v>
      </c>
      <c r="L591" s="23"/>
      <c r="M591" s="23"/>
      <c r="N591" s="201"/>
      <c r="O591" s="23">
        <f t="shared" si="136"/>
        <v>509</v>
      </c>
      <c r="P591" s="23">
        <f t="shared" si="137"/>
        <v>513</v>
      </c>
      <c r="Q591" s="203">
        <f t="shared" si="138"/>
        <v>100.78585461689586</v>
      </c>
    </row>
    <row r="592" spans="2:17" x14ac:dyDescent="0.2">
      <c r="B592" s="72">
        <f t="shared" si="129"/>
        <v>584</v>
      </c>
      <c r="C592" s="4"/>
      <c r="D592" s="4"/>
      <c r="E592" s="4"/>
      <c r="F592" s="52" t="s">
        <v>165</v>
      </c>
      <c r="G592" s="12">
        <v>640</v>
      </c>
      <c r="H592" s="12" t="s">
        <v>134</v>
      </c>
      <c r="I592" s="49">
        <v>67</v>
      </c>
      <c r="J592" s="49">
        <v>67</v>
      </c>
      <c r="K592" s="198">
        <f t="shared" si="135"/>
        <v>100</v>
      </c>
      <c r="L592" s="49"/>
      <c r="M592" s="49"/>
      <c r="N592" s="201"/>
      <c r="O592" s="49">
        <f t="shared" si="136"/>
        <v>67</v>
      </c>
      <c r="P592" s="49">
        <f t="shared" si="137"/>
        <v>67</v>
      </c>
      <c r="Q592" s="203">
        <f t="shared" si="138"/>
        <v>100</v>
      </c>
    </row>
    <row r="593" spans="2:17" x14ac:dyDescent="0.2">
      <c r="B593" s="72">
        <f t="shared" si="129"/>
        <v>585</v>
      </c>
      <c r="C593" s="11"/>
      <c r="D593" s="11"/>
      <c r="E593" s="11" t="s">
        <v>87</v>
      </c>
      <c r="F593" s="51"/>
      <c r="G593" s="11"/>
      <c r="H593" s="11" t="s">
        <v>62</v>
      </c>
      <c r="I593" s="48">
        <f>I596+I595+I594+I600</f>
        <v>19005</v>
      </c>
      <c r="J593" s="48">
        <f>J596+J595+J594+J600</f>
        <v>18974</v>
      </c>
      <c r="K593" s="198">
        <f t="shared" si="135"/>
        <v>99.836885030255189</v>
      </c>
      <c r="L593" s="48">
        <v>0</v>
      </c>
      <c r="M593" s="48"/>
      <c r="N593" s="201"/>
      <c r="O593" s="48">
        <f t="shared" si="136"/>
        <v>19005</v>
      </c>
      <c r="P593" s="48">
        <f t="shared" si="137"/>
        <v>18974</v>
      </c>
      <c r="Q593" s="203">
        <f t="shared" si="138"/>
        <v>99.836885030255189</v>
      </c>
    </row>
    <row r="594" spans="2:17" x14ac:dyDescent="0.2">
      <c r="B594" s="72">
        <f t="shared" si="129"/>
        <v>586</v>
      </c>
      <c r="C594" s="12"/>
      <c r="D594" s="12"/>
      <c r="E594" s="12"/>
      <c r="F594" s="52" t="s">
        <v>165</v>
      </c>
      <c r="G594" s="12">
        <v>610</v>
      </c>
      <c r="H594" s="12" t="s">
        <v>135</v>
      </c>
      <c r="I594" s="49">
        <f>10924+1000+125</f>
        <v>12049</v>
      </c>
      <c r="J594" s="49">
        <v>12049</v>
      </c>
      <c r="K594" s="198">
        <f t="shared" si="135"/>
        <v>100</v>
      </c>
      <c r="L594" s="49"/>
      <c r="M594" s="49"/>
      <c r="N594" s="201"/>
      <c r="O594" s="49">
        <f t="shared" si="136"/>
        <v>12049</v>
      </c>
      <c r="P594" s="49">
        <f t="shared" si="137"/>
        <v>12049</v>
      </c>
      <c r="Q594" s="203">
        <f t="shared" si="138"/>
        <v>100</v>
      </c>
    </row>
    <row r="595" spans="2:17" x14ac:dyDescent="0.2">
      <c r="B595" s="72">
        <f t="shared" si="129"/>
        <v>587</v>
      </c>
      <c r="C595" s="12"/>
      <c r="D595" s="12"/>
      <c r="E595" s="12"/>
      <c r="F595" s="52" t="s">
        <v>165</v>
      </c>
      <c r="G595" s="12">
        <v>620</v>
      </c>
      <c r="H595" s="12" t="s">
        <v>130</v>
      </c>
      <c r="I595" s="49">
        <f>4475-125</f>
        <v>4350</v>
      </c>
      <c r="J595" s="49">
        <v>4350</v>
      </c>
      <c r="K595" s="198">
        <f t="shared" si="135"/>
        <v>100</v>
      </c>
      <c r="L595" s="49"/>
      <c r="M595" s="49"/>
      <c r="N595" s="201"/>
      <c r="O595" s="49">
        <f t="shared" si="136"/>
        <v>4350</v>
      </c>
      <c r="P595" s="49">
        <f t="shared" si="137"/>
        <v>4350</v>
      </c>
      <c r="Q595" s="203">
        <f t="shared" si="138"/>
        <v>100</v>
      </c>
    </row>
    <row r="596" spans="2:17" x14ac:dyDescent="0.2">
      <c r="B596" s="72">
        <f t="shared" si="129"/>
        <v>588</v>
      </c>
      <c r="C596" s="12"/>
      <c r="D596" s="12"/>
      <c r="E596" s="12"/>
      <c r="F596" s="52" t="s">
        <v>165</v>
      </c>
      <c r="G596" s="12">
        <v>630</v>
      </c>
      <c r="H596" s="12" t="s">
        <v>127</v>
      </c>
      <c r="I596" s="49">
        <f>I599+I598+I597</f>
        <v>2579</v>
      </c>
      <c r="J596" s="49">
        <f>J599+J598+J597</f>
        <v>2548</v>
      </c>
      <c r="K596" s="198">
        <f t="shared" si="135"/>
        <v>98.79798371461807</v>
      </c>
      <c r="L596" s="49">
        <f>L599+L598+L597</f>
        <v>0</v>
      </c>
      <c r="M596" s="49">
        <f>M599+M598+M597</f>
        <v>0</v>
      </c>
      <c r="N596" s="201"/>
      <c r="O596" s="49">
        <f t="shared" si="136"/>
        <v>2579</v>
      </c>
      <c r="P596" s="49">
        <f t="shared" si="137"/>
        <v>2548</v>
      </c>
      <c r="Q596" s="203">
        <f t="shared" si="138"/>
        <v>98.79798371461807</v>
      </c>
    </row>
    <row r="597" spans="2:17" x14ac:dyDescent="0.2">
      <c r="B597" s="72">
        <f t="shared" si="129"/>
        <v>589</v>
      </c>
      <c r="C597" s="4"/>
      <c r="D597" s="4"/>
      <c r="E597" s="4"/>
      <c r="F597" s="53" t="s">
        <v>165</v>
      </c>
      <c r="G597" s="4">
        <v>633</v>
      </c>
      <c r="H597" s="4" t="s">
        <v>131</v>
      </c>
      <c r="I597" s="23">
        <f>1500-42</f>
        <v>1458</v>
      </c>
      <c r="J597" s="23">
        <v>1449</v>
      </c>
      <c r="K597" s="198">
        <f t="shared" si="135"/>
        <v>99.382716049382708</v>
      </c>
      <c r="L597" s="23"/>
      <c r="M597" s="23"/>
      <c r="N597" s="201"/>
      <c r="O597" s="23">
        <f t="shared" si="136"/>
        <v>1458</v>
      </c>
      <c r="P597" s="23">
        <f t="shared" si="137"/>
        <v>1449</v>
      </c>
      <c r="Q597" s="203">
        <f t="shared" si="138"/>
        <v>99.382716049382708</v>
      </c>
    </row>
    <row r="598" spans="2:17" x14ac:dyDescent="0.2">
      <c r="B598" s="72">
        <f t="shared" si="129"/>
        <v>590</v>
      </c>
      <c r="C598" s="4"/>
      <c r="D598" s="4"/>
      <c r="E598" s="4"/>
      <c r="F598" s="53" t="s">
        <v>165</v>
      </c>
      <c r="G598" s="4">
        <v>635</v>
      </c>
      <c r="H598" s="4" t="s">
        <v>137</v>
      </c>
      <c r="I598" s="23">
        <f>100+499</f>
        <v>599</v>
      </c>
      <c r="J598" s="23">
        <v>599</v>
      </c>
      <c r="K598" s="198">
        <f t="shared" si="135"/>
        <v>100</v>
      </c>
      <c r="L598" s="23"/>
      <c r="M598" s="23"/>
      <c r="N598" s="201"/>
      <c r="O598" s="23">
        <f t="shared" si="136"/>
        <v>599</v>
      </c>
      <c r="P598" s="23">
        <f t="shared" si="137"/>
        <v>599</v>
      </c>
      <c r="Q598" s="203">
        <f t="shared" si="138"/>
        <v>100</v>
      </c>
    </row>
    <row r="599" spans="2:17" x14ac:dyDescent="0.2">
      <c r="B599" s="72">
        <f t="shared" si="129"/>
        <v>591</v>
      </c>
      <c r="C599" s="4"/>
      <c r="D599" s="4"/>
      <c r="E599" s="4"/>
      <c r="F599" s="53" t="s">
        <v>165</v>
      </c>
      <c r="G599" s="4">
        <v>637</v>
      </c>
      <c r="H599" s="4" t="s">
        <v>128</v>
      </c>
      <c r="I599" s="23">
        <f>880-358</f>
        <v>522</v>
      </c>
      <c r="J599" s="23">
        <v>500</v>
      </c>
      <c r="K599" s="198">
        <f t="shared" si="135"/>
        <v>95.785440613026822</v>
      </c>
      <c r="L599" s="23"/>
      <c r="M599" s="23"/>
      <c r="N599" s="201"/>
      <c r="O599" s="23">
        <f t="shared" si="136"/>
        <v>522</v>
      </c>
      <c r="P599" s="23">
        <f t="shared" si="137"/>
        <v>500</v>
      </c>
      <c r="Q599" s="203">
        <f t="shared" si="138"/>
        <v>95.785440613026822</v>
      </c>
    </row>
    <row r="600" spans="2:17" x14ac:dyDescent="0.2">
      <c r="B600" s="72">
        <f t="shared" si="129"/>
        <v>592</v>
      </c>
      <c r="C600" s="4"/>
      <c r="D600" s="4"/>
      <c r="E600" s="4"/>
      <c r="F600" s="52" t="s">
        <v>165</v>
      </c>
      <c r="G600" s="12">
        <v>640</v>
      </c>
      <c r="H600" s="12" t="s">
        <v>134</v>
      </c>
      <c r="I600" s="49">
        <v>27</v>
      </c>
      <c r="J600" s="49">
        <v>27</v>
      </c>
      <c r="K600" s="198">
        <f t="shared" si="135"/>
        <v>100</v>
      </c>
      <c r="L600" s="49"/>
      <c r="M600" s="49"/>
      <c r="N600" s="201"/>
      <c r="O600" s="49">
        <f t="shared" si="136"/>
        <v>27</v>
      </c>
      <c r="P600" s="49">
        <f t="shared" si="137"/>
        <v>27</v>
      </c>
      <c r="Q600" s="203">
        <f t="shared" si="138"/>
        <v>100</v>
      </c>
    </row>
    <row r="601" spans="2:17" x14ac:dyDescent="0.2">
      <c r="B601" s="72">
        <f t="shared" si="129"/>
        <v>593</v>
      </c>
      <c r="C601" s="11"/>
      <c r="D601" s="11"/>
      <c r="E601" s="11" t="s">
        <v>97</v>
      </c>
      <c r="F601" s="51"/>
      <c r="G601" s="11"/>
      <c r="H601" s="11" t="s">
        <v>98</v>
      </c>
      <c r="I601" s="48">
        <f>I604+I603+I602</f>
        <v>23954</v>
      </c>
      <c r="J601" s="48">
        <f>J604+J603+J602</f>
        <v>23821</v>
      </c>
      <c r="K601" s="198">
        <f t="shared" si="135"/>
        <v>99.44476914085331</v>
      </c>
      <c r="L601" s="48">
        <f>L604+L603+L602</f>
        <v>0</v>
      </c>
      <c r="M601" s="48">
        <f>M604+M603+M602</f>
        <v>0</v>
      </c>
      <c r="N601" s="201"/>
      <c r="O601" s="48">
        <f t="shared" si="136"/>
        <v>23954</v>
      </c>
      <c r="P601" s="48">
        <f t="shared" si="137"/>
        <v>23821</v>
      </c>
      <c r="Q601" s="203">
        <f t="shared" si="138"/>
        <v>99.44476914085331</v>
      </c>
    </row>
    <row r="602" spans="2:17" x14ac:dyDescent="0.2">
      <c r="B602" s="72">
        <f t="shared" si="129"/>
        <v>594</v>
      </c>
      <c r="C602" s="12"/>
      <c r="D602" s="12"/>
      <c r="E602" s="12"/>
      <c r="F602" s="52" t="s">
        <v>165</v>
      </c>
      <c r="G602" s="12">
        <v>610</v>
      </c>
      <c r="H602" s="12" t="s">
        <v>135</v>
      </c>
      <c r="I602" s="49">
        <f>15482+121</f>
        <v>15603</v>
      </c>
      <c r="J602" s="49">
        <v>15603</v>
      </c>
      <c r="K602" s="198">
        <f t="shared" si="135"/>
        <v>100</v>
      </c>
      <c r="L602" s="49"/>
      <c r="M602" s="49"/>
      <c r="N602" s="201"/>
      <c r="O602" s="49">
        <f t="shared" si="136"/>
        <v>15603</v>
      </c>
      <c r="P602" s="49">
        <f t="shared" si="137"/>
        <v>15603</v>
      </c>
      <c r="Q602" s="203">
        <f t="shared" si="138"/>
        <v>100</v>
      </c>
    </row>
    <row r="603" spans="2:17" x14ac:dyDescent="0.2">
      <c r="B603" s="72">
        <f t="shared" si="129"/>
        <v>595</v>
      </c>
      <c r="C603" s="12"/>
      <c r="D603" s="12"/>
      <c r="E603" s="12"/>
      <c r="F603" s="52" t="s">
        <v>165</v>
      </c>
      <c r="G603" s="12">
        <v>620</v>
      </c>
      <c r="H603" s="12" t="s">
        <v>130</v>
      </c>
      <c r="I603" s="49">
        <f>5752-121</f>
        <v>5631</v>
      </c>
      <c r="J603" s="49">
        <v>5631</v>
      </c>
      <c r="K603" s="198">
        <f t="shared" si="135"/>
        <v>100</v>
      </c>
      <c r="L603" s="49"/>
      <c r="M603" s="49"/>
      <c r="N603" s="201"/>
      <c r="O603" s="49">
        <f t="shared" si="136"/>
        <v>5631</v>
      </c>
      <c r="P603" s="49">
        <f t="shared" si="137"/>
        <v>5631</v>
      </c>
      <c r="Q603" s="203">
        <f t="shared" si="138"/>
        <v>100</v>
      </c>
    </row>
    <row r="604" spans="2:17" x14ac:dyDescent="0.2">
      <c r="B604" s="72">
        <f t="shared" si="129"/>
        <v>596</v>
      </c>
      <c r="C604" s="12"/>
      <c r="D604" s="12"/>
      <c r="E604" s="12"/>
      <c r="F604" s="52" t="s">
        <v>165</v>
      </c>
      <c r="G604" s="12">
        <v>630</v>
      </c>
      <c r="H604" s="12" t="s">
        <v>127</v>
      </c>
      <c r="I604" s="49">
        <f>I607+I606+I605</f>
        <v>2720</v>
      </c>
      <c r="J604" s="49">
        <f>J607+J606+J605</f>
        <v>2587</v>
      </c>
      <c r="K604" s="198">
        <f t="shared" si="135"/>
        <v>95.110294117647058</v>
      </c>
      <c r="L604" s="49">
        <f>L607+L606+L605</f>
        <v>0</v>
      </c>
      <c r="M604" s="49">
        <f>M607+M606+M605</f>
        <v>0</v>
      </c>
      <c r="N604" s="201"/>
      <c r="O604" s="49">
        <f t="shared" si="136"/>
        <v>2720</v>
      </c>
      <c r="P604" s="49">
        <f t="shared" si="137"/>
        <v>2587</v>
      </c>
      <c r="Q604" s="203">
        <f t="shared" si="138"/>
        <v>95.110294117647058</v>
      </c>
    </row>
    <row r="605" spans="2:17" x14ac:dyDescent="0.2">
      <c r="B605" s="72">
        <f t="shared" si="129"/>
        <v>597</v>
      </c>
      <c r="C605" s="4"/>
      <c r="D605" s="4"/>
      <c r="E605" s="4"/>
      <c r="F605" s="53" t="s">
        <v>165</v>
      </c>
      <c r="G605" s="4">
        <v>633</v>
      </c>
      <c r="H605" s="4" t="s">
        <v>131</v>
      </c>
      <c r="I605" s="23">
        <f>1760+100+227</f>
        <v>2087</v>
      </c>
      <c r="J605" s="23">
        <v>2087</v>
      </c>
      <c r="K605" s="198">
        <f t="shared" si="135"/>
        <v>100</v>
      </c>
      <c r="L605" s="23"/>
      <c r="M605" s="23"/>
      <c r="N605" s="201"/>
      <c r="O605" s="23">
        <f t="shared" si="136"/>
        <v>2087</v>
      </c>
      <c r="P605" s="23">
        <f t="shared" si="137"/>
        <v>2087</v>
      </c>
      <c r="Q605" s="203">
        <f t="shared" si="138"/>
        <v>100</v>
      </c>
    </row>
    <row r="606" spans="2:17" x14ac:dyDescent="0.2">
      <c r="B606" s="72">
        <f t="shared" si="129"/>
        <v>598</v>
      </c>
      <c r="C606" s="4"/>
      <c r="D606" s="4"/>
      <c r="E606" s="4"/>
      <c r="F606" s="53" t="s">
        <v>165</v>
      </c>
      <c r="G606" s="4">
        <v>635</v>
      </c>
      <c r="H606" s="4" t="s">
        <v>137</v>
      </c>
      <c r="I606" s="23">
        <v>100</v>
      </c>
      <c r="J606" s="23">
        <v>0</v>
      </c>
      <c r="K606" s="198">
        <f t="shared" ref="K606:K637" si="139">J606/I606*100</f>
        <v>0</v>
      </c>
      <c r="L606" s="23"/>
      <c r="M606" s="23"/>
      <c r="N606" s="201"/>
      <c r="O606" s="23">
        <f t="shared" si="136"/>
        <v>100</v>
      </c>
      <c r="P606" s="23">
        <f t="shared" si="137"/>
        <v>0</v>
      </c>
      <c r="Q606" s="203">
        <f t="shared" si="138"/>
        <v>0</v>
      </c>
    </row>
    <row r="607" spans="2:17" x14ac:dyDescent="0.2">
      <c r="B607" s="72">
        <f t="shared" si="129"/>
        <v>599</v>
      </c>
      <c r="C607" s="4"/>
      <c r="D607" s="4"/>
      <c r="E607" s="4"/>
      <c r="F607" s="53" t="s">
        <v>165</v>
      </c>
      <c r="G607" s="4">
        <v>637</v>
      </c>
      <c r="H607" s="4" t="s">
        <v>128</v>
      </c>
      <c r="I607" s="23">
        <f>860-100-227</f>
        <v>533</v>
      </c>
      <c r="J607" s="23">
        <v>500</v>
      </c>
      <c r="K607" s="198">
        <f t="shared" si="139"/>
        <v>93.808630393996253</v>
      </c>
      <c r="L607" s="23"/>
      <c r="M607" s="23"/>
      <c r="N607" s="201"/>
      <c r="O607" s="23">
        <f t="shared" ref="O607:O638" si="140">L607+I607</f>
        <v>533</v>
      </c>
      <c r="P607" s="23">
        <f t="shared" ref="P607:P638" si="141">M607+J607</f>
        <v>500</v>
      </c>
      <c r="Q607" s="203">
        <f t="shared" ref="Q607:Q638" si="142">P607/O607*100</f>
        <v>93.808630393996253</v>
      </c>
    </row>
    <row r="608" spans="2:17" x14ac:dyDescent="0.2">
      <c r="B608" s="72">
        <f t="shared" si="129"/>
        <v>600</v>
      </c>
      <c r="C608" s="11"/>
      <c r="D608" s="11"/>
      <c r="E608" s="11" t="s">
        <v>100</v>
      </c>
      <c r="F608" s="51"/>
      <c r="G608" s="11"/>
      <c r="H608" s="11" t="s">
        <v>101</v>
      </c>
      <c r="I608" s="48">
        <f>I611+I610+I609</f>
        <v>25578</v>
      </c>
      <c r="J608" s="48">
        <f>J611+J610+J609</f>
        <v>25518</v>
      </c>
      <c r="K608" s="198">
        <f t="shared" si="139"/>
        <v>99.765423410743608</v>
      </c>
      <c r="L608" s="48">
        <v>0</v>
      </c>
      <c r="M608" s="48"/>
      <c r="N608" s="201"/>
      <c r="O608" s="48">
        <f t="shared" si="140"/>
        <v>25578</v>
      </c>
      <c r="P608" s="48">
        <f t="shared" si="141"/>
        <v>25518</v>
      </c>
      <c r="Q608" s="203">
        <f t="shared" si="142"/>
        <v>99.765423410743608</v>
      </c>
    </row>
    <row r="609" spans="2:17" x14ac:dyDescent="0.2">
      <c r="B609" s="72">
        <f t="shared" ref="B609:B672" si="143">B608+1</f>
        <v>601</v>
      </c>
      <c r="C609" s="12"/>
      <c r="D609" s="12"/>
      <c r="E609" s="12"/>
      <c r="F609" s="52" t="s">
        <v>165</v>
      </c>
      <c r="G609" s="12">
        <v>610</v>
      </c>
      <c r="H609" s="12" t="s">
        <v>135</v>
      </c>
      <c r="I609" s="49">
        <f>16198-80</f>
        <v>16118</v>
      </c>
      <c r="J609" s="49">
        <v>16118</v>
      </c>
      <c r="K609" s="198">
        <f t="shared" si="139"/>
        <v>100</v>
      </c>
      <c r="L609" s="49"/>
      <c r="M609" s="49"/>
      <c r="N609" s="201"/>
      <c r="O609" s="49">
        <f t="shared" si="140"/>
        <v>16118</v>
      </c>
      <c r="P609" s="49">
        <f t="shared" si="141"/>
        <v>16118</v>
      </c>
      <c r="Q609" s="203">
        <f t="shared" si="142"/>
        <v>100</v>
      </c>
    </row>
    <row r="610" spans="2:17" x14ac:dyDescent="0.2">
      <c r="B610" s="72">
        <f t="shared" si="143"/>
        <v>602</v>
      </c>
      <c r="C610" s="12"/>
      <c r="D610" s="12"/>
      <c r="E610" s="12"/>
      <c r="F610" s="52" t="s">
        <v>165</v>
      </c>
      <c r="G610" s="12">
        <v>620</v>
      </c>
      <c r="H610" s="12" t="s">
        <v>130</v>
      </c>
      <c r="I610" s="49">
        <f>6020+80</f>
        <v>6100</v>
      </c>
      <c r="J610" s="49">
        <v>6100</v>
      </c>
      <c r="K610" s="198">
        <f t="shared" si="139"/>
        <v>100</v>
      </c>
      <c r="L610" s="49"/>
      <c r="M610" s="49"/>
      <c r="N610" s="201"/>
      <c r="O610" s="49">
        <f t="shared" si="140"/>
        <v>6100</v>
      </c>
      <c r="P610" s="49">
        <f t="shared" si="141"/>
        <v>6100</v>
      </c>
      <c r="Q610" s="203">
        <f t="shared" si="142"/>
        <v>100</v>
      </c>
    </row>
    <row r="611" spans="2:17" x14ac:dyDescent="0.2">
      <c r="B611" s="72">
        <f t="shared" si="143"/>
        <v>603</v>
      </c>
      <c r="C611" s="12"/>
      <c r="D611" s="12"/>
      <c r="E611" s="12"/>
      <c r="F611" s="52" t="s">
        <v>165</v>
      </c>
      <c r="G611" s="12">
        <v>630</v>
      </c>
      <c r="H611" s="12" t="s">
        <v>127</v>
      </c>
      <c r="I611" s="49">
        <f>I614+I613+I612</f>
        <v>3360</v>
      </c>
      <c r="J611" s="49">
        <f>J614+J613+J612</f>
        <v>3300</v>
      </c>
      <c r="K611" s="198">
        <f t="shared" si="139"/>
        <v>98.214285714285708</v>
      </c>
      <c r="L611" s="49">
        <f>L614+L613+L612</f>
        <v>0</v>
      </c>
      <c r="M611" s="49">
        <f>M614+M613+M612</f>
        <v>0</v>
      </c>
      <c r="N611" s="201"/>
      <c r="O611" s="49">
        <f t="shared" si="140"/>
        <v>3360</v>
      </c>
      <c r="P611" s="49">
        <f t="shared" si="141"/>
        <v>3300</v>
      </c>
      <c r="Q611" s="203">
        <f t="shared" si="142"/>
        <v>98.214285714285708</v>
      </c>
    </row>
    <row r="612" spans="2:17" x14ac:dyDescent="0.2">
      <c r="B612" s="72">
        <f t="shared" si="143"/>
        <v>604</v>
      </c>
      <c r="C612" s="4"/>
      <c r="D612" s="4"/>
      <c r="E612" s="4"/>
      <c r="F612" s="53" t="s">
        <v>165</v>
      </c>
      <c r="G612" s="4">
        <v>633</v>
      </c>
      <c r="H612" s="4" t="s">
        <v>131</v>
      </c>
      <c r="I612" s="23">
        <f>2000+750</f>
        <v>2750</v>
      </c>
      <c r="J612" s="23">
        <v>2751</v>
      </c>
      <c r="K612" s="198">
        <f t="shared" si="139"/>
        <v>100.03636363636363</v>
      </c>
      <c r="L612" s="23"/>
      <c r="M612" s="23"/>
      <c r="N612" s="201"/>
      <c r="O612" s="23">
        <f t="shared" si="140"/>
        <v>2750</v>
      </c>
      <c r="P612" s="23">
        <f t="shared" si="141"/>
        <v>2751</v>
      </c>
      <c r="Q612" s="203">
        <f t="shared" si="142"/>
        <v>100.03636363636363</v>
      </c>
    </row>
    <row r="613" spans="2:17" x14ac:dyDescent="0.2">
      <c r="B613" s="72">
        <f t="shared" si="143"/>
        <v>605</v>
      </c>
      <c r="C613" s="4"/>
      <c r="D613" s="4"/>
      <c r="E613" s="4"/>
      <c r="F613" s="53" t="s">
        <v>165</v>
      </c>
      <c r="G613" s="4">
        <v>635</v>
      </c>
      <c r="H613" s="4" t="s">
        <v>137</v>
      </c>
      <c r="I613" s="23">
        <v>200</v>
      </c>
      <c r="J613" s="23">
        <v>206</v>
      </c>
      <c r="K613" s="198">
        <f t="shared" si="139"/>
        <v>103</v>
      </c>
      <c r="L613" s="23"/>
      <c r="M613" s="23"/>
      <c r="N613" s="201"/>
      <c r="O613" s="23">
        <f t="shared" si="140"/>
        <v>200</v>
      </c>
      <c r="P613" s="23">
        <f t="shared" si="141"/>
        <v>206</v>
      </c>
      <c r="Q613" s="203">
        <f t="shared" si="142"/>
        <v>103</v>
      </c>
    </row>
    <row r="614" spans="2:17" x14ac:dyDescent="0.2">
      <c r="B614" s="72">
        <f t="shared" si="143"/>
        <v>606</v>
      </c>
      <c r="C614" s="4"/>
      <c r="D614" s="4"/>
      <c r="E614" s="4"/>
      <c r="F614" s="53" t="s">
        <v>165</v>
      </c>
      <c r="G614" s="4">
        <v>637</v>
      </c>
      <c r="H614" s="4" t="s">
        <v>128</v>
      </c>
      <c r="I614" s="23">
        <f>1160-750</f>
        <v>410</v>
      </c>
      <c r="J614" s="23">
        <v>343</v>
      </c>
      <c r="K614" s="198">
        <f t="shared" si="139"/>
        <v>83.658536585365852</v>
      </c>
      <c r="L614" s="23"/>
      <c r="M614" s="23"/>
      <c r="N614" s="201"/>
      <c r="O614" s="23">
        <f t="shared" si="140"/>
        <v>410</v>
      </c>
      <c r="P614" s="23">
        <f t="shared" si="141"/>
        <v>343</v>
      </c>
      <c r="Q614" s="203">
        <f t="shared" si="142"/>
        <v>83.658536585365852</v>
      </c>
    </row>
    <row r="615" spans="2:17" x14ac:dyDescent="0.2">
      <c r="B615" s="72">
        <f t="shared" si="143"/>
        <v>607</v>
      </c>
      <c r="C615" s="11"/>
      <c r="D615" s="11"/>
      <c r="E615" s="11" t="s">
        <v>85</v>
      </c>
      <c r="F615" s="51"/>
      <c r="G615" s="11"/>
      <c r="H615" s="11" t="s">
        <v>86</v>
      </c>
      <c r="I615" s="48">
        <f>I618+I617+I616+I622</f>
        <v>39034</v>
      </c>
      <c r="J615" s="48">
        <f>J618+J617+J616+J622</f>
        <v>38929</v>
      </c>
      <c r="K615" s="198">
        <f t="shared" si="139"/>
        <v>99.731003740328944</v>
      </c>
      <c r="L615" s="48">
        <v>0</v>
      </c>
      <c r="M615" s="48"/>
      <c r="N615" s="201"/>
      <c r="O615" s="48">
        <f t="shared" si="140"/>
        <v>39034</v>
      </c>
      <c r="P615" s="48">
        <f t="shared" si="141"/>
        <v>38929</v>
      </c>
      <c r="Q615" s="203">
        <f t="shared" si="142"/>
        <v>99.731003740328944</v>
      </c>
    </row>
    <row r="616" spans="2:17" x14ac:dyDescent="0.2">
      <c r="B616" s="72">
        <f t="shared" si="143"/>
        <v>608</v>
      </c>
      <c r="C616" s="12"/>
      <c r="D616" s="12"/>
      <c r="E616" s="12"/>
      <c r="F616" s="52" t="s">
        <v>165</v>
      </c>
      <c r="G616" s="12">
        <v>610</v>
      </c>
      <c r="H616" s="12" t="s">
        <v>135</v>
      </c>
      <c r="I616" s="49">
        <f>24710-122</f>
        <v>24588</v>
      </c>
      <c r="J616" s="49">
        <v>24588</v>
      </c>
      <c r="K616" s="198">
        <f t="shared" si="139"/>
        <v>100</v>
      </c>
      <c r="L616" s="49"/>
      <c r="M616" s="49"/>
      <c r="N616" s="201"/>
      <c r="O616" s="49">
        <f t="shared" si="140"/>
        <v>24588</v>
      </c>
      <c r="P616" s="49">
        <f t="shared" si="141"/>
        <v>24588</v>
      </c>
      <c r="Q616" s="203">
        <f t="shared" si="142"/>
        <v>100</v>
      </c>
    </row>
    <row r="617" spans="2:17" x14ac:dyDescent="0.2">
      <c r="B617" s="72">
        <f t="shared" si="143"/>
        <v>609</v>
      </c>
      <c r="C617" s="12"/>
      <c r="D617" s="12"/>
      <c r="E617" s="12"/>
      <c r="F617" s="52" t="s">
        <v>165</v>
      </c>
      <c r="G617" s="12">
        <v>620</v>
      </c>
      <c r="H617" s="12" t="s">
        <v>130</v>
      </c>
      <c r="I617" s="49">
        <f>9180+83</f>
        <v>9263</v>
      </c>
      <c r="J617" s="49">
        <v>9263</v>
      </c>
      <c r="K617" s="198">
        <f t="shared" si="139"/>
        <v>100</v>
      </c>
      <c r="L617" s="49"/>
      <c r="M617" s="49"/>
      <c r="N617" s="201"/>
      <c r="O617" s="49">
        <f t="shared" si="140"/>
        <v>9263</v>
      </c>
      <c r="P617" s="49">
        <f t="shared" si="141"/>
        <v>9263</v>
      </c>
      <c r="Q617" s="203">
        <f t="shared" si="142"/>
        <v>100</v>
      </c>
    </row>
    <row r="618" spans="2:17" x14ac:dyDescent="0.2">
      <c r="B618" s="72">
        <f t="shared" si="143"/>
        <v>610</v>
      </c>
      <c r="C618" s="12"/>
      <c r="D618" s="12"/>
      <c r="E618" s="12"/>
      <c r="F618" s="52" t="s">
        <v>165</v>
      </c>
      <c r="G618" s="12">
        <v>630</v>
      </c>
      <c r="H618" s="12" t="s">
        <v>127</v>
      </c>
      <c r="I618" s="49">
        <f>I621+I620+I619</f>
        <v>4817</v>
      </c>
      <c r="J618" s="49">
        <f>J621+J620+J619</f>
        <v>4712</v>
      </c>
      <c r="K618" s="198">
        <f t="shared" si="139"/>
        <v>97.820220053975504</v>
      </c>
      <c r="L618" s="49">
        <f>L621+L620+L619</f>
        <v>0</v>
      </c>
      <c r="M618" s="49">
        <f>M621+M620+M619</f>
        <v>0</v>
      </c>
      <c r="N618" s="201"/>
      <c r="O618" s="49">
        <f t="shared" si="140"/>
        <v>4817</v>
      </c>
      <c r="P618" s="49">
        <f t="shared" si="141"/>
        <v>4712</v>
      </c>
      <c r="Q618" s="203">
        <f t="shared" si="142"/>
        <v>97.820220053975504</v>
      </c>
    </row>
    <row r="619" spans="2:17" x14ac:dyDescent="0.2">
      <c r="B619" s="72">
        <f t="shared" si="143"/>
        <v>611</v>
      </c>
      <c r="C619" s="4"/>
      <c r="D619" s="4"/>
      <c r="E619" s="4"/>
      <c r="F619" s="53" t="s">
        <v>165</v>
      </c>
      <c r="G619" s="4">
        <v>633</v>
      </c>
      <c r="H619" s="4" t="s">
        <v>131</v>
      </c>
      <c r="I619" s="23">
        <f>4000-320-783-38</f>
        <v>2859</v>
      </c>
      <c r="J619" s="23">
        <v>2755</v>
      </c>
      <c r="K619" s="198">
        <f t="shared" si="139"/>
        <v>96.362364463098984</v>
      </c>
      <c r="L619" s="23"/>
      <c r="M619" s="23"/>
      <c r="N619" s="201"/>
      <c r="O619" s="23">
        <f t="shared" si="140"/>
        <v>2859</v>
      </c>
      <c r="P619" s="23">
        <f t="shared" si="141"/>
        <v>2755</v>
      </c>
      <c r="Q619" s="203">
        <f t="shared" si="142"/>
        <v>96.362364463098984</v>
      </c>
    </row>
    <row r="620" spans="2:17" x14ac:dyDescent="0.2">
      <c r="B620" s="72">
        <f t="shared" si="143"/>
        <v>612</v>
      </c>
      <c r="C620" s="4"/>
      <c r="D620" s="4"/>
      <c r="E620" s="4"/>
      <c r="F620" s="53" t="s">
        <v>165</v>
      </c>
      <c r="G620" s="4">
        <v>635</v>
      </c>
      <c r="H620" s="4" t="s">
        <v>137</v>
      </c>
      <c r="I620" s="23">
        <f>150+1020</f>
        <v>1170</v>
      </c>
      <c r="J620" s="23">
        <v>1169</v>
      </c>
      <c r="K620" s="198">
        <f t="shared" si="139"/>
        <v>99.914529914529908</v>
      </c>
      <c r="L620" s="23"/>
      <c r="M620" s="23"/>
      <c r="N620" s="201"/>
      <c r="O620" s="23">
        <f t="shared" si="140"/>
        <v>1170</v>
      </c>
      <c r="P620" s="23">
        <f t="shared" si="141"/>
        <v>1169</v>
      </c>
      <c r="Q620" s="203">
        <f t="shared" si="142"/>
        <v>99.914529914529908</v>
      </c>
    </row>
    <row r="621" spans="2:17" x14ac:dyDescent="0.2">
      <c r="B621" s="72">
        <f t="shared" si="143"/>
        <v>613</v>
      </c>
      <c r="C621" s="4"/>
      <c r="D621" s="4"/>
      <c r="E621" s="4"/>
      <c r="F621" s="53" t="s">
        <v>165</v>
      </c>
      <c r="G621" s="4">
        <v>637</v>
      </c>
      <c r="H621" s="4" t="s">
        <v>128</v>
      </c>
      <c r="I621" s="23">
        <f>1450-700+38</f>
        <v>788</v>
      </c>
      <c r="J621" s="23">
        <v>788</v>
      </c>
      <c r="K621" s="198">
        <f t="shared" si="139"/>
        <v>100</v>
      </c>
      <c r="L621" s="23"/>
      <c r="M621" s="23"/>
      <c r="N621" s="201"/>
      <c r="O621" s="23">
        <f t="shared" si="140"/>
        <v>788</v>
      </c>
      <c r="P621" s="23">
        <f t="shared" si="141"/>
        <v>788</v>
      </c>
      <c r="Q621" s="203">
        <f t="shared" si="142"/>
        <v>100</v>
      </c>
    </row>
    <row r="622" spans="2:17" x14ac:dyDescent="0.2">
      <c r="B622" s="72">
        <f t="shared" si="143"/>
        <v>614</v>
      </c>
      <c r="C622" s="4"/>
      <c r="D622" s="4"/>
      <c r="E622" s="4"/>
      <c r="F622" s="52" t="s">
        <v>165</v>
      </c>
      <c r="G622" s="12">
        <v>640</v>
      </c>
      <c r="H622" s="12" t="s">
        <v>134</v>
      </c>
      <c r="I622" s="49">
        <f>327+39</f>
        <v>366</v>
      </c>
      <c r="J622" s="49">
        <v>366</v>
      </c>
      <c r="K622" s="198">
        <f t="shared" si="139"/>
        <v>100</v>
      </c>
      <c r="L622" s="49"/>
      <c r="M622" s="49"/>
      <c r="N622" s="201"/>
      <c r="O622" s="49">
        <f t="shared" si="140"/>
        <v>366</v>
      </c>
      <c r="P622" s="49">
        <f t="shared" si="141"/>
        <v>366</v>
      </c>
      <c r="Q622" s="203">
        <f t="shared" si="142"/>
        <v>100</v>
      </c>
    </row>
    <row r="623" spans="2:17" x14ac:dyDescent="0.2">
      <c r="B623" s="72">
        <f t="shared" si="143"/>
        <v>615</v>
      </c>
      <c r="C623" s="11"/>
      <c r="D623" s="11"/>
      <c r="E623" s="11" t="s">
        <v>82</v>
      </c>
      <c r="F623" s="51"/>
      <c r="G623" s="11"/>
      <c r="H623" s="11" t="s">
        <v>83</v>
      </c>
      <c r="I623" s="48">
        <f>I626+I625+I624+I630</f>
        <v>42760</v>
      </c>
      <c r="J623" s="48">
        <f>J626+J625+J624+J630</f>
        <v>42599</v>
      </c>
      <c r="K623" s="198">
        <f t="shared" si="139"/>
        <v>99.62347988774556</v>
      </c>
      <c r="L623" s="48">
        <v>0</v>
      </c>
      <c r="M623" s="48"/>
      <c r="N623" s="201"/>
      <c r="O623" s="48">
        <f t="shared" si="140"/>
        <v>42760</v>
      </c>
      <c r="P623" s="48">
        <f t="shared" si="141"/>
        <v>42599</v>
      </c>
      <c r="Q623" s="203">
        <f t="shared" si="142"/>
        <v>99.62347988774556</v>
      </c>
    </row>
    <row r="624" spans="2:17" x14ac:dyDescent="0.2">
      <c r="B624" s="72">
        <f t="shared" si="143"/>
        <v>616</v>
      </c>
      <c r="C624" s="12"/>
      <c r="D624" s="12"/>
      <c r="E624" s="12"/>
      <c r="F624" s="52" t="s">
        <v>165</v>
      </c>
      <c r="G624" s="12">
        <v>610</v>
      </c>
      <c r="H624" s="12" t="s">
        <v>135</v>
      </c>
      <c r="I624" s="49">
        <f>27000+591</f>
        <v>27591</v>
      </c>
      <c r="J624" s="49">
        <v>27591</v>
      </c>
      <c r="K624" s="198">
        <f t="shared" si="139"/>
        <v>100</v>
      </c>
      <c r="L624" s="49"/>
      <c r="M624" s="49"/>
      <c r="N624" s="201"/>
      <c r="O624" s="49">
        <f t="shared" si="140"/>
        <v>27591</v>
      </c>
      <c r="P624" s="49">
        <f t="shared" si="141"/>
        <v>27591</v>
      </c>
      <c r="Q624" s="203">
        <f t="shared" si="142"/>
        <v>100</v>
      </c>
    </row>
    <row r="625" spans="2:17" x14ac:dyDescent="0.2">
      <c r="B625" s="72">
        <f t="shared" si="143"/>
        <v>617</v>
      </c>
      <c r="C625" s="12"/>
      <c r="D625" s="12"/>
      <c r="E625" s="12"/>
      <c r="F625" s="52" t="s">
        <v>165</v>
      </c>
      <c r="G625" s="12">
        <v>620</v>
      </c>
      <c r="H625" s="12" t="s">
        <v>130</v>
      </c>
      <c r="I625" s="49">
        <f>10030-591</f>
        <v>9439</v>
      </c>
      <c r="J625" s="49">
        <v>9439</v>
      </c>
      <c r="K625" s="198">
        <f t="shared" si="139"/>
        <v>100</v>
      </c>
      <c r="L625" s="49"/>
      <c r="M625" s="49"/>
      <c r="N625" s="201"/>
      <c r="O625" s="49">
        <f t="shared" si="140"/>
        <v>9439</v>
      </c>
      <c r="P625" s="49">
        <f t="shared" si="141"/>
        <v>9439</v>
      </c>
      <c r="Q625" s="203">
        <f t="shared" si="142"/>
        <v>100</v>
      </c>
    </row>
    <row r="626" spans="2:17" x14ac:dyDescent="0.2">
      <c r="B626" s="72">
        <f t="shared" si="143"/>
        <v>618</v>
      </c>
      <c r="C626" s="12"/>
      <c r="D626" s="12"/>
      <c r="E626" s="12"/>
      <c r="F626" s="52" t="s">
        <v>165</v>
      </c>
      <c r="G626" s="12">
        <v>630</v>
      </c>
      <c r="H626" s="12" t="s">
        <v>127</v>
      </c>
      <c r="I626" s="49">
        <f>I629+I628+I627</f>
        <v>5410</v>
      </c>
      <c r="J626" s="49">
        <f>J629+J628+J627</f>
        <v>5248</v>
      </c>
      <c r="K626" s="198">
        <f t="shared" si="139"/>
        <v>97.005545286506461</v>
      </c>
      <c r="L626" s="49">
        <f>L629+L628+L627</f>
        <v>0</v>
      </c>
      <c r="M626" s="49">
        <f>M629+M628+M627</f>
        <v>0</v>
      </c>
      <c r="N626" s="201"/>
      <c r="O626" s="49">
        <f t="shared" si="140"/>
        <v>5410</v>
      </c>
      <c r="P626" s="49">
        <f t="shared" si="141"/>
        <v>5248</v>
      </c>
      <c r="Q626" s="203">
        <f t="shared" si="142"/>
        <v>97.005545286506461</v>
      </c>
    </row>
    <row r="627" spans="2:17" x14ac:dyDescent="0.2">
      <c r="B627" s="72">
        <f t="shared" si="143"/>
        <v>619</v>
      </c>
      <c r="C627" s="4"/>
      <c r="D627" s="4"/>
      <c r="E627" s="4"/>
      <c r="F627" s="53" t="s">
        <v>165</v>
      </c>
      <c r="G627" s="4">
        <v>633</v>
      </c>
      <c r="H627" s="4" t="s">
        <v>131</v>
      </c>
      <c r="I627" s="23">
        <f>4050+250-419</f>
        <v>3881</v>
      </c>
      <c r="J627" s="23">
        <v>3812</v>
      </c>
      <c r="K627" s="198">
        <f t="shared" si="139"/>
        <v>98.222107704199942</v>
      </c>
      <c r="L627" s="23"/>
      <c r="M627" s="23"/>
      <c r="N627" s="201"/>
      <c r="O627" s="23">
        <f t="shared" si="140"/>
        <v>3881</v>
      </c>
      <c r="P627" s="23">
        <f t="shared" si="141"/>
        <v>3812</v>
      </c>
      <c r="Q627" s="203">
        <f t="shared" si="142"/>
        <v>98.222107704199942</v>
      </c>
    </row>
    <row r="628" spans="2:17" x14ac:dyDescent="0.2">
      <c r="B628" s="72">
        <f t="shared" si="143"/>
        <v>620</v>
      </c>
      <c r="C628" s="4"/>
      <c r="D628" s="4"/>
      <c r="E628" s="4"/>
      <c r="F628" s="53" t="s">
        <v>165</v>
      </c>
      <c r="G628" s="4">
        <v>635</v>
      </c>
      <c r="H628" s="4" t="s">
        <v>137</v>
      </c>
      <c r="I628" s="23">
        <f>200+419</f>
        <v>619</v>
      </c>
      <c r="J628" s="23">
        <v>619</v>
      </c>
      <c r="K628" s="198">
        <f t="shared" si="139"/>
        <v>100</v>
      </c>
      <c r="L628" s="23"/>
      <c r="M628" s="23"/>
      <c r="N628" s="201"/>
      <c r="O628" s="23">
        <f t="shared" si="140"/>
        <v>619</v>
      </c>
      <c r="P628" s="23">
        <f t="shared" si="141"/>
        <v>619</v>
      </c>
      <c r="Q628" s="203">
        <f t="shared" si="142"/>
        <v>100</v>
      </c>
    </row>
    <row r="629" spans="2:17" x14ac:dyDescent="0.2">
      <c r="B629" s="72">
        <f t="shared" si="143"/>
        <v>621</v>
      </c>
      <c r="C629" s="4"/>
      <c r="D629" s="4"/>
      <c r="E629" s="4"/>
      <c r="F629" s="53" t="s">
        <v>165</v>
      </c>
      <c r="G629" s="4">
        <v>637</v>
      </c>
      <c r="H629" s="4" t="s">
        <v>128</v>
      </c>
      <c r="I629" s="23">
        <f>1160-250</f>
        <v>910</v>
      </c>
      <c r="J629" s="23">
        <v>817</v>
      </c>
      <c r="K629" s="198">
        <f t="shared" si="139"/>
        <v>89.780219780219781</v>
      </c>
      <c r="L629" s="23"/>
      <c r="M629" s="23"/>
      <c r="N629" s="201"/>
      <c r="O629" s="23">
        <f t="shared" si="140"/>
        <v>910</v>
      </c>
      <c r="P629" s="23">
        <f t="shared" si="141"/>
        <v>817</v>
      </c>
      <c r="Q629" s="203">
        <f t="shared" si="142"/>
        <v>89.780219780219781</v>
      </c>
    </row>
    <row r="630" spans="2:17" x14ac:dyDescent="0.2">
      <c r="B630" s="72">
        <f t="shared" si="143"/>
        <v>622</v>
      </c>
      <c r="C630" s="4"/>
      <c r="D630" s="4"/>
      <c r="E630" s="4"/>
      <c r="F630" s="52" t="s">
        <v>165</v>
      </c>
      <c r="G630" s="12">
        <v>640</v>
      </c>
      <c r="H630" s="12" t="s">
        <v>134</v>
      </c>
      <c r="I630" s="49">
        <v>320</v>
      </c>
      <c r="J630" s="49">
        <v>321</v>
      </c>
      <c r="K630" s="198">
        <f t="shared" si="139"/>
        <v>100.3125</v>
      </c>
      <c r="L630" s="49"/>
      <c r="M630" s="49"/>
      <c r="N630" s="201"/>
      <c r="O630" s="49">
        <f t="shared" si="140"/>
        <v>320</v>
      </c>
      <c r="P630" s="49">
        <f t="shared" si="141"/>
        <v>321</v>
      </c>
      <c r="Q630" s="203">
        <f t="shared" si="142"/>
        <v>100.3125</v>
      </c>
    </row>
    <row r="631" spans="2:17" x14ac:dyDescent="0.2">
      <c r="B631" s="72">
        <f t="shared" si="143"/>
        <v>623</v>
      </c>
      <c r="C631" s="11"/>
      <c r="D631" s="11"/>
      <c r="E631" s="11" t="s">
        <v>104</v>
      </c>
      <c r="F631" s="51"/>
      <c r="G631" s="11"/>
      <c r="H631" s="11" t="s">
        <v>105</v>
      </c>
      <c r="I631" s="48">
        <f>I634+I633+I632</f>
        <v>26075</v>
      </c>
      <c r="J631" s="48">
        <f>J634+J633+J632</f>
        <v>25837</v>
      </c>
      <c r="K631" s="198">
        <f t="shared" si="139"/>
        <v>99.087248322147644</v>
      </c>
      <c r="L631" s="48">
        <f>L634+L633+L632</f>
        <v>0</v>
      </c>
      <c r="M631" s="48">
        <f>M634+M633+M632</f>
        <v>0</v>
      </c>
      <c r="N631" s="201"/>
      <c r="O631" s="48">
        <f t="shared" si="140"/>
        <v>26075</v>
      </c>
      <c r="P631" s="48">
        <f t="shared" si="141"/>
        <v>25837</v>
      </c>
      <c r="Q631" s="203">
        <f t="shared" si="142"/>
        <v>99.087248322147644</v>
      </c>
    </row>
    <row r="632" spans="2:17" x14ac:dyDescent="0.2">
      <c r="B632" s="72">
        <f t="shared" si="143"/>
        <v>624</v>
      </c>
      <c r="C632" s="12"/>
      <c r="D632" s="12"/>
      <c r="E632" s="12"/>
      <c r="F632" s="52" t="s">
        <v>165</v>
      </c>
      <c r="G632" s="12">
        <v>610</v>
      </c>
      <c r="H632" s="12" t="s">
        <v>135</v>
      </c>
      <c r="I632" s="49">
        <f>16175+200+107</f>
        <v>16482</v>
      </c>
      <c r="J632" s="49">
        <v>16482</v>
      </c>
      <c r="K632" s="198">
        <f t="shared" si="139"/>
        <v>100</v>
      </c>
      <c r="L632" s="49"/>
      <c r="M632" s="49"/>
      <c r="N632" s="201"/>
      <c r="O632" s="49">
        <f t="shared" si="140"/>
        <v>16482</v>
      </c>
      <c r="P632" s="49">
        <f t="shared" si="141"/>
        <v>16482</v>
      </c>
      <c r="Q632" s="203">
        <f t="shared" si="142"/>
        <v>100</v>
      </c>
    </row>
    <row r="633" spans="2:17" x14ac:dyDescent="0.2">
      <c r="B633" s="72">
        <f t="shared" si="143"/>
        <v>625</v>
      </c>
      <c r="C633" s="12"/>
      <c r="D633" s="12"/>
      <c r="E633" s="12"/>
      <c r="F633" s="52" t="s">
        <v>165</v>
      </c>
      <c r="G633" s="12">
        <v>620</v>
      </c>
      <c r="H633" s="12" t="s">
        <v>130</v>
      </c>
      <c r="I633" s="49">
        <f>6010+70-107</f>
        <v>5973</v>
      </c>
      <c r="J633" s="49">
        <v>5973</v>
      </c>
      <c r="K633" s="198">
        <f t="shared" si="139"/>
        <v>100</v>
      </c>
      <c r="L633" s="49"/>
      <c r="M633" s="49"/>
      <c r="N633" s="201"/>
      <c r="O633" s="49">
        <f t="shared" si="140"/>
        <v>5973</v>
      </c>
      <c r="P633" s="49">
        <f t="shared" si="141"/>
        <v>5973</v>
      </c>
      <c r="Q633" s="203">
        <f t="shared" si="142"/>
        <v>100</v>
      </c>
    </row>
    <row r="634" spans="2:17" x14ac:dyDescent="0.2">
      <c r="B634" s="72">
        <f t="shared" si="143"/>
        <v>626</v>
      </c>
      <c r="C634" s="12"/>
      <c r="D634" s="12"/>
      <c r="E634" s="12"/>
      <c r="F634" s="52" t="s">
        <v>165</v>
      </c>
      <c r="G634" s="12">
        <v>630</v>
      </c>
      <c r="H634" s="12" t="s">
        <v>127</v>
      </c>
      <c r="I634" s="49">
        <f>I637+I636+I635</f>
        <v>3620</v>
      </c>
      <c r="J634" s="49">
        <f>J637+J636+J635</f>
        <v>3382</v>
      </c>
      <c r="K634" s="198">
        <f t="shared" si="139"/>
        <v>93.425414364640886</v>
      </c>
      <c r="L634" s="49">
        <f>L637+L636+L635</f>
        <v>0</v>
      </c>
      <c r="M634" s="49">
        <f>M637+M636+M635</f>
        <v>0</v>
      </c>
      <c r="N634" s="201"/>
      <c r="O634" s="49">
        <f t="shared" si="140"/>
        <v>3620</v>
      </c>
      <c r="P634" s="49">
        <f t="shared" si="141"/>
        <v>3382</v>
      </c>
      <c r="Q634" s="203">
        <f t="shared" si="142"/>
        <v>93.425414364640886</v>
      </c>
    </row>
    <row r="635" spans="2:17" x14ac:dyDescent="0.2">
      <c r="B635" s="72">
        <f t="shared" si="143"/>
        <v>627</v>
      </c>
      <c r="C635" s="4"/>
      <c r="D635" s="4"/>
      <c r="E635" s="4"/>
      <c r="F635" s="53" t="s">
        <v>165</v>
      </c>
      <c r="G635" s="4">
        <v>633</v>
      </c>
      <c r="H635" s="4" t="s">
        <v>131</v>
      </c>
      <c r="I635" s="23">
        <f>2590+400</f>
        <v>2990</v>
      </c>
      <c r="J635" s="23">
        <v>2935</v>
      </c>
      <c r="K635" s="198">
        <f t="shared" si="139"/>
        <v>98.160535117056853</v>
      </c>
      <c r="L635" s="23"/>
      <c r="M635" s="23"/>
      <c r="N635" s="201"/>
      <c r="O635" s="23">
        <f t="shared" si="140"/>
        <v>2990</v>
      </c>
      <c r="P635" s="23">
        <f t="shared" si="141"/>
        <v>2935</v>
      </c>
      <c r="Q635" s="203">
        <f t="shared" si="142"/>
        <v>98.160535117056853</v>
      </c>
    </row>
    <row r="636" spans="2:17" x14ac:dyDescent="0.2">
      <c r="B636" s="72">
        <f t="shared" si="143"/>
        <v>628</v>
      </c>
      <c r="C636" s="4"/>
      <c r="D636" s="4"/>
      <c r="E636" s="4"/>
      <c r="F636" s="53" t="s">
        <v>165</v>
      </c>
      <c r="G636" s="4">
        <v>635</v>
      </c>
      <c r="H636" s="4" t="s">
        <v>137</v>
      </c>
      <c r="I636" s="23">
        <f>200-17</f>
        <v>183</v>
      </c>
      <c r="J636" s="23">
        <v>0</v>
      </c>
      <c r="K636" s="198">
        <f t="shared" si="139"/>
        <v>0</v>
      </c>
      <c r="L636" s="23"/>
      <c r="M636" s="23"/>
      <c r="N636" s="201"/>
      <c r="O636" s="23">
        <f t="shared" si="140"/>
        <v>183</v>
      </c>
      <c r="P636" s="23">
        <f t="shared" si="141"/>
        <v>0</v>
      </c>
      <c r="Q636" s="203">
        <f t="shared" si="142"/>
        <v>0</v>
      </c>
    </row>
    <row r="637" spans="2:17" x14ac:dyDescent="0.2">
      <c r="B637" s="72">
        <f t="shared" si="143"/>
        <v>629</v>
      </c>
      <c r="C637" s="4"/>
      <c r="D637" s="4"/>
      <c r="E637" s="4"/>
      <c r="F637" s="53" t="s">
        <v>165</v>
      </c>
      <c r="G637" s="4">
        <v>637</v>
      </c>
      <c r="H637" s="4" t="s">
        <v>128</v>
      </c>
      <c r="I637" s="23">
        <f>830-400+17</f>
        <v>447</v>
      </c>
      <c r="J637" s="23">
        <v>447</v>
      </c>
      <c r="K637" s="198">
        <f t="shared" si="139"/>
        <v>100</v>
      </c>
      <c r="L637" s="23"/>
      <c r="M637" s="23"/>
      <c r="N637" s="201"/>
      <c r="O637" s="23">
        <f t="shared" si="140"/>
        <v>447</v>
      </c>
      <c r="P637" s="23">
        <f t="shared" si="141"/>
        <v>447</v>
      </c>
      <c r="Q637" s="203">
        <f t="shared" si="142"/>
        <v>100</v>
      </c>
    </row>
    <row r="638" spans="2:17" x14ac:dyDescent="0.2">
      <c r="B638" s="72">
        <f t="shared" si="143"/>
        <v>630</v>
      </c>
      <c r="C638" s="11"/>
      <c r="D638" s="11"/>
      <c r="E638" s="11" t="s">
        <v>103</v>
      </c>
      <c r="F638" s="51"/>
      <c r="G638" s="11"/>
      <c r="H638" s="11" t="s">
        <v>250</v>
      </c>
      <c r="I638" s="48">
        <f>I645+I641+I640+I639</f>
        <v>32277</v>
      </c>
      <c r="J638" s="48">
        <f>J645+J641+J640+J639</f>
        <v>32064</v>
      </c>
      <c r="K638" s="198">
        <f t="shared" ref="K638:K669" si="144">J638/I638*100</f>
        <v>99.340087368714563</v>
      </c>
      <c r="L638" s="48">
        <f>L645+L641+L640+L639</f>
        <v>0</v>
      </c>
      <c r="M638" s="48">
        <f>M645+M641+M640+M639</f>
        <v>0</v>
      </c>
      <c r="N638" s="201"/>
      <c r="O638" s="48">
        <f t="shared" si="140"/>
        <v>32277</v>
      </c>
      <c r="P638" s="48">
        <f t="shared" si="141"/>
        <v>32064</v>
      </c>
      <c r="Q638" s="203">
        <f t="shared" si="142"/>
        <v>99.340087368714563</v>
      </c>
    </row>
    <row r="639" spans="2:17" x14ac:dyDescent="0.2">
      <c r="B639" s="72">
        <f t="shared" si="143"/>
        <v>631</v>
      </c>
      <c r="C639" s="12"/>
      <c r="D639" s="12"/>
      <c r="E639" s="12"/>
      <c r="F639" s="52" t="s">
        <v>165</v>
      </c>
      <c r="G639" s="12">
        <v>610</v>
      </c>
      <c r="H639" s="12" t="s">
        <v>135</v>
      </c>
      <c r="I639" s="49">
        <f>18251+250+316</f>
        <v>18817</v>
      </c>
      <c r="J639" s="49">
        <v>18817</v>
      </c>
      <c r="K639" s="198">
        <f t="shared" si="144"/>
        <v>100</v>
      </c>
      <c r="L639" s="49"/>
      <c r="M639" s="49"/>
      <c r="N639" s="201"/>
      <c r="O639" s="49">
        <f t="shared" ref="O639:O670" si="145">L639+I639</f>
        <v>18817</v>
      </c>
      <c r="P639" s="49">
        <f t="shared" ref="P639:P670" si="146">M639+J639</f>
        <v>18817</v>
      </c>
      <c r="Q639" s="203">
        <f t="shared" ref="Q639:Q670" si="147">P639/O639*100</f>
        <v>100</v>
      </c>
    </row>
    <row r="640" spans="2:17" x14ac:dyDescent="0.2">
      <c r="B640" s="72">
        <f t="shared" si="143"/>
        <v>632</v>
      </c>
      <c r="C640" s="12"/>
      <c r="D640" s="12"/>
      <c r="E640" s="12"/>
      <c r="F640" s="52" t="s">
        <v>165</v>
      </c>
      <c r="G640" s="12">
        <v>620</v>
      </c>
      <c r="H640" s="12" t="s">
        <v>130</v>
      </c>
      <c r="I640" s="49">
        <f>6781-316</f>
        <v>6465</v>
      </c>
      <c r="J640" s="49">
        <v>6465</v>
      </c>
      <c r="K640" s="198">
        <f t="shared" si="144"/>
        <v>100</v>
      </c>
      <c r="L640" s="49"/>
      <c r="M640" s="49"/>
      <c r="N640" s="201"/>
      <c r="O640" s="49">
        <f t="shared" si="145"/>
        <v>6465</v>
      </c>
      <c r="P640" s="49">
        <f t="shared" si="146"/>
        <v>6465</v>
      </c>
      <c r="Q640" s="203">
        <f t="shared" si="147"/>
        <v>100</v>
      </c>
    </row>
    <row r="641" spans="2:17" x14ac:dyDescent="0.2">
      <c r="B641" s="72">
        <f t="shared" si="143"/>
        <v>633</v>
      </c>
      <c r="C641" s="12"/>
      <c r="D641" s="12"/>
      <c r="E641" s="12"/>
      <c r="F641" s="52" t="s">
        <v>165</v>
      </c>
      <c r="G641" s="12">
        <v>630</v>
      </c>
      <c r="H641" s="12" t="s">
        <v>127</v>
      </c>
      <c r="I641" s="49">
        <f>I644+I643+I642</f>
        <v>6795</v>
      </c>
      <c r="J641" s="49">
        <f>J644+J643+J642</f>
        <v>6630</v>
      </c>
      <c r="K641" s="198">
        <f t="shared" si="144"/>
        <v>97.571743929359826</v>
      </c>
      <c r="L641" s="49">
        <f>L644+L643+L642</f>
        <v>0</v>
      </c>
      <c r="M641" s="49">
        <f>M644+M643+M642</f>
        <v>0</v>
      </c>
      <c r="N641" s="201"/>
      <c r="O641" s="49">
        <f t="shared" si="145"/>
        <v>6795</v>
      </c>
      <c r="P641" s="49">
        <f t="shared" si="146"/>
        <v>6630</v>
      </c>
      <c r="Q641" s="203">
        <f t="shared" si="147"/>
        <v>97.571743929359826</v>
      </c>
    </row>
    <row r="642" spans="2:17" x14ac:dyDescent="0.2">
      <c r="B642" s="72">
        <f t="shared" si="143"/>
        <v>634</v>
      </c>
      <c r="C642" s="4"/>
      <c r="D642" s="4"/>
      <c r="E642" s="4"/>
      <c r="F642" s="53" t="s">
        <v>165</v>
      </c>
      <c r="G642" s="4">
        <v>633</v>
      </c>
      <c r="H642" s="4" t="s">
        <v>131</v>
      </c>
      <c r="I642" s="23">
        <f>5200+350-1500</f>
        <v>4050</v>
      </c>
      <c r="J642" s="23">
        <v>3922</v>
      </c>
      <c r="K642" s="198">
        <f t="shared" si="144"/>
        <v>96.839506172839506</v>
      </c>
      <c r="L642" s="23"/>
      <c r="M642" s="23"/>
      <c r="N642" s="201"/>
      <c r="O642" s="23">
        <f t="shared" si="145"/>
        <v>4050</v>
      </c>
      <c r="P642" s="23">
        <f t="shared" si="146"/>
        <v>3922</v>
      </c>
      <c r="Q642" s="203">
        <f t="shared" si="147"/>
        <v>96.839506172839506</v>
      </c>
    </row>
    <row r="643" spans="2:17" x14ac:dyDescent="0.2">
      <c r="B643" s="72">
        <f t="shared" si="143"/>
        <v>635</v>
      </c>
      <c r="C643" s="4"/>
      <c r="D643" s="4"/>
      <c r="E643" s="4"/>
      <c r="F643" s="53" t="s">
        <v>165</v>
      </c>
      <c r="G643" s="4">
        <v>635</v>
      </c>
      <c r="H643" s="4" t="s">
        <v>137</v>
      </c>
      <c r="I643" s="23">
        <f>150+1821</f>
        <v>1971</v>
      </c>
      <c r="J643" s="23">
        <v>1971</v>
      </c>
      <c r="K643" s="198">
        <f t="shared" si="144"/>
        <v>100</v>
      </c>
      <c r="L643" s="23"/>
      <c r="M643" s="23"/>
      <c r="N643" s="201"/>
      <c r="O643" s="23">
        <f t="shared" si="145"/>
        <v>1971</v>
      </c>
      <c r="P643" s="23">
        <f t="shared" si="146"/>
        <v>1971</v>
      </c>
      <c r="Q643" s="203">
        <f t="shared" si="147"/>
        <v>100</v>
      </c>
    </row>
    <row r="644" spans="2:17" x14ac:dyDescent="0.2">
      <c r="B644" s="72">
        <f t="shared" si="143"/>
        <v>636</v>
      </c>
      <c r="C644" s="4"/>
      <c r="D644" s="4"/>
      <c r="E644" s="4"/>
      <c r="F644" s="53" t="s">
        <v>165</v>
      </c>
      <c r="G644" s="4">
        <v>637</v>
      </c>
      <c r="H644" s="4" t="s">
        <v>128</v>
      </c>
      <c r="I644" s="23">
        <f>1095-321</f>
        <v>774</v>
      </c>
      <c r="J644" s="23">
        <v>737</v>
      </c>
      <c r="K644" s="198">
        <f t="shared" si="144"/>
        <v>95.21963824289405</v>
      </c>
      <c r="L644" s="23"/>
      <c r="M644" s="23"/>
      <c r="N644" s="201"/>
      <c r="O644" s="23">
        <f t="shared" si="145"/>
        <v>774</v>
      </c>
      <c r="P644" s="23">
        <f t="shared" si="146"/>
        <v>737</v>
      </c>
      <c r="Q644" s="203">
        <f t="shared" si="147"/>
        <v>95.21963824289405</v>
      </c>
    </row>
    <row r="645" spans="2:17" x14ac:dyDescent="0.2">
      <c r="B645" s="72">
        <f t="shared" si="143"/>
        <v>637</v>
      </c>
      <c r="C645" s="12"/>
      <c r="D645" s="12"/>
      <c r="E645" s="12"/>
      <c r="F645" s="52" t="s">
        <v>165</v>
      </c>
      <c r="G645" s="12">
        <v>640</v>
      </c>
      <c r="H645" s="12" t="s">
        <v>134</v>
      </c>
      <c r="I645" s="49">
        <f>450-250</f>
        <v>200</v>
      </c>
      <c r="J645" s="49">
        <v>152</v>
      </c>
      <c r="K645" s="198">
        <f t="shared" si="144"/>
        <v>76</v>
      </c>
      <c r="L645" s="49"/>
      <c r="M645" s="49"/>
      <c r="N645" s="201"/>
      <c r="O645" s="49">
        <f t="shared" si="145"/>
        <v>200</v>
      </c>
      <c r="P645" s="49">
        <f t="shared" si="146"/>
        <v>152</v>
      </c>
      <c r="Q645" s="203">
        <f t="shared" si="147"/>
        <v>76</v>
      </c>
    </row>
    <row r="646" spans="2:17" x14ac:dyDescent="0.2">
      <c r="B646" s="72">
        <f t="shared" si="143"/>
        <v>638</v>
      </c>
      <c r="C646" s="11"/>
      <c r="D646" s="11"/>
      <c r="E646" s="11" t="s">
        <v>99</v>
      </c>
      <c r="F646" s="51"/>
      <c r="G646" s="11"/>
      <c r="H646" s="11" t="s">
        <v>64</v>
      </c>
      <c r="I646" s="48">
        <f>I649+I648+I647</f>
        <v>35682</v>
      </c>
      <c r="J646" s="48">
        <f>J649+J648+J647</f>
        <v>35542</v>
      </c>
      <c r="K646" s="198">
        <f t="shared" si="144"/>
        <v>99.607645311361466</v>
      </c>
      <c r="L646" s="48">
        <f>L649+L648+L647</f>
        <v>0</v>
      </c>
      <c r="M646" s="48">
        <f>M649+M648+M647</f>
        <v>0</v>
      </c>
      <c r="N646" s="201"/>
      <c r="O646" s="48">
        <f t="shared" si="145"/>
        <v>35682</v>
      </c>
      <c r="P646" s="48">
        <f t="shared" si="146"/>
        <v>35542</v>
      </c>
      <c r="Q646" s="203">
        <f t="shared" si="147"/>
        <v>99.607645311361466</v>
      </c>
    </row>
    <row r="647" spans="2:17" x14ac:dyDescent="0.2">
      <c r="B647" s="72">
        <f t="shared" si="143"/>
        <v>639</v>
      </c>
      <c r="C647" s="12"/>
      <c r="D647" s="12"/>
      <c r="E647" s="12"/>
      <c r="F647" s="52" t="s">
        <v>165</v>
      </c>
      <c r="G647" s="12">
        <v>610</v>
      </c>
      <c r="H647" s="12" t="s">
        <v>135</v>
      </c>
      <c r="I647" s="49">
        <f>21020+144</f>
        <v>21164</v>
      </c>
      <c r="J647" s="49">
        <v>21164</v>
      </c>
      <c r="K647" s="198">
        <f t="shared" si="144"/>
        <v>100</v>
      </c>
      <c r="L647" s="49"/>
      <c r="M647" s="49"/>
      <c r="N647" s="201"/>
      <c r="O647" s="49">
        <f t="shared" si="145"/>
        <v>21164</v>
      </c>
      <c r="P647" s="49">
        <f t="shared" si="146"/>
        <v>21164</v>
      </c>
      <c r="Q647" s="203">
        <f t="shared" si="147"/>
        <v>100</v>
      </c>
    </row>
    <row r="648" spans="2:17" x14ac:dyDescent="0.2">
      <c r="B648" s="72">
        <f t="shared" si="143"/>
        <v>640</v>
      </c>
      <c r="C648" s="12"/>
      <c r="D648" s="12"/>
      <c r="E648" s="12"/>
      <c r="F648" s="52" t="s">
        <v>165</v>
      </c>
      <c r="G648" s="12">
        <v>620</v>
      </c>
      <c r="H648" s="12" t="s">
        <v>130</v>
      </c>
      <c r="I648" s="49">
        <f>7810-144</f>
        <v>7666</v>
      </c>
      <c r="J648" s="49">
        <v>7666</v>
      </c>
      <c r="K648" s="198">
        <f t="shared" si="144"/>
        <v>100</v>
      </c>
      <c r="L648" s="49"/>
      <c r="M648" s="49"/>
      <c r="N648" s="201"/>
      <c r="O648" s="49">
        <f t="shared" si="145"/>
        <v>7666</v>
      </c>
      <c r="P648" s="49">
        <f t="shared" si="146"/>
        <v>7666</v>
      </c>
      <c r="Q648" s="203">
        <f t="shared" si="147"/>
        <v>100</v>
      </c>
    </row>
    <row r="649" spans="2:17" x14ac:dyDescent="0.2">
      <c r="B649" s="72">
        <f t="shared" si="143"/>
        <v>641</v>
      </c>
      <c r="C649" s="12"/>
      <c r="D649" s="12"/>
      <c r="E649" s="12"/>
      <c r="F649" s="52" t="s">
        <v>165</v>
      </c>
      <c r="G649" s="12">
        <v>630</v>
      </c>
      <c r="H649" s="12" t="s">
        <v>127</v>
      </c>
      <c r="I649" s="49">
        <f>I652+I651+I650</f>
        <v>6852</v>
      </c>
      <c r="J649" s="49">
        <f>J652+J651+J650</f>
        <v>6712</v>
      </c>
      <c r="K649" s="198">
        <f t="shared" si="144"/>
        <v>97.956800934033865</v>
      </c>
      <c r="L649" s="49">
        <f>L652+L651+L650</f>
        <v>0</v>
      </c>
      <c r="M649" s="49">
        <f>M652+M651+M650</f>
        <v>0</v>
      </c>
      <c r="N649" s="201"/>
      <c r="O649" s="49">
        <f t="shared" si="145"/>
        <v>6852</v>
      </c>
      <c r="P649" s="49">
        <f t="shared" si="146"/>
        <v>6712</v>
      </c>
      <c r="Q649" s="203">
        <f t="shared" si="147"/>
        <v>97.956800934033865</v>
      </c>
    </row>
    <row r="650" spans="2:17" x14ac:dyDescent="0.2">
      <c r="B650" s="72">
        <f t="shared" si="143"/>
        <v>642</v>
      </c>
      <c r="C650" s="4"/>
      <c r="D650" s="4"/>
      <c r="E650" s="4"/>
      <c r="F650" s="53" t="s">
        <v>165</v>
      </c>
      <c r="G650" s="4">
        <v>633</v>
      </c>
      <c r="H650" s="4" t="s">
        <v>131</v>
      </c>
      <c r="I650" s="23">
        <f>3200+700</f>
        <v>3900</v>
      </c>
      <c r="J650" s="23">
        <v>3869</v>
      </c>
      <c r="K650" s="198">
        <f t="shared" si="144"/>
        <v>99.205128205128204</v>
      </c>
      <c r="L650" s="23"/>
      <c r="M650" s="23"/>
      <c r="N650" s="201"/>
      <c r="O650" s="23">
        <f t="shared" si="145"/>
        <v>3900</v>
      </c>
      <c r="P650" s="23">
        <f t="shared" si="146"/>
        <v>3869</v>
      </c>
      <c r="Q650" s="203">
        <f t="shared" si="147"/>
        <v>99.205128205128204</v>
      </c>
    </row>
    <row r="651" spans="2:17" x14ac:dyDescent="0.2">
      <c r="B651" s="72">
        <f t="shared" si="143"/>
        <v>643</v>
      </c>
      <c r="C651" s="4"/>
      <c r="D651" s="4"/>
      <c r="E651" s="4"/>
      <c r="F651" s="53" t="s">
        <v>165</v>
      </c>
      <c r="G651" s="4">
        <v>635</v>
      </c>
      <c r="H651" s="4" t="s">
        <v>137</v>
      </c>
      <c r="I651" s="23">
        <f>150+1877</f>
        <v>2027</v>
      </c>
      <c r="J651" s="23">
        <v>2027</v>
      </c>
      <c r="K651" s="198">
        <f t="shared" si="144"/>
        <v>100</v>
      </c>
      <c r="L651" s="23"/>
      <c r="M651" s="23"/>
      <c r="N651" s="201"/>
      <c r="O651" s="23">
        <f t="shared" si="145"/>
        <v>2027</v>
      </c>
      <c r="P651" s="23">
        <f t="shared" si="146"/>
        <v>2027</v>
      </c>
      <c r="Q651" s="203">
        <f t="shared" si="147"/>
        <v>100</v>
      </c>
    </row>
    <row r="652" spans="2:17" x14ac:dyDescent="0.2">
      <c r="B652" s="72">
        <f t="shared" si="143"/>
        <v>644</v>
      </c>
      <c r="C652" s="4"/>
      <c r="D652" s="4"/>
      <c r="E652" s="4"/>
      <c r="F652" s="53" t="s">
        <v>165</v>
      </c>
      <c r="G652" s="4">
        <v>637</v>
      </c>
      <c r="H652" s="4" t="s">
        <v>128</v>
      </c>
      <c r="I652" s="23">
        <f>1625-700</f>
        <v>925</v>
      </c>
      <c r="J652" s="23">
        <v>816</v>
      </c>
      <c r="K652" s="198">
        <f t="shared" si="144"/>
        <v>88.21621621621621</v>
      </c>
      <c r="L652" s="23"/>
      <c r="M652" s="23"/>
      <c r="N652" s="201"/>
      <c r="O652" s="23">
        <f t="shared" si="145"/>
        <v>925</v>
      </c>
      <c r="P652" s="23">
        <f t="shared" si="146"/>
        <v>816</v>
      </c>
      <c r="Q652" s="203">
        <f t="shared" si="147"/>
        <v>88.21621621621621</v>
      </c>
    </row>
    <row r="653" spans="2:17" x14ac:dyDescent="0.2">
      <c r="B653" s="72">
        <f t="shared" si="143"/>
        <v>645</v>
      </c>
      <c r="C653" s="11"/>
      <c r="D653" s="11"/>
      <c r="E653" s="11" t="s">
        <v>102</v>
      </c>
      <c r="F653" s="51"/>
      <c r="G653" s="11"/>
      <c r="H653" s="11" t="s">
        <v>65</v>
      </c>
      <c r="I653" s="48">
        <f>I656+I655+I654</f>
        <v>25264</v>
      </c>
      <c r="J653" s="48">
        <f>J656+J655+J654</f>
        <v>25239</v>
      </c>
      <c r="K653" s="198">
        <f t="shared" si="144"/>
        <v>99.901044965167827</v>
      </c>
      <c r="L653" s="48">
        <f>L656+L655+L654</f>
        <v>0</v>
      </c>
      <c r="M653" s="48">
        <f>M656+M655+M654</f>
        <v>0</v>
      </c>
      <c r="N653" s="201"/>
      <c r="O653" s="48">
        <f t="shared" si="145"/>
        <v>25264</v>
      </c>
      <c r="P653" s="48">
        <f t="shared" si="146"/>
        <v>25239</v>
      </c>
      <c r="Q653" s="203">
        <f t="shared" si="147"/>
        <v>99.901044965167827</v>
      </c>
    </row>
    <row r="654" spans="2:17" x14ac:dyDescent="0.2">
      <c r="B654" s="72">
        <f t="shared" si="143"/>
        <v>646</v>
      </c>
      <c r="C654" s="12"/>
      <c r="D654" s="12"/>
      <c r="E654" s="12"/>
      <c r="F654" s="52" t="s">
        <v>165</v>
      </c>
      <c r="G654" s="12">
        <v>610</v>
      </c>
      <c r="H654" s="12" t="s">
        <v>135</v>
      </c>
      <c r="I654" s="49">
        <f>16400-80</f>
        <v>16320</v>
      </c>
      <c r="J654" s="49">
        <v>16320</v>
      </c>
      <c r="K654" s="198">
        <f t="shared" si="144"/>
        <v>100</v>
      </c>
      <c r="L654" s="49"/>
      <c r="M654" s="49"/>
      <c r="N654" s="201"/>
      <c r="O654" s="49">
        <f t="shared" si="145"/>
        <v>16320</v>
      </c>
      <c r="P654" s="49">
        <f t="shared" si="146"/>
        <v>16320</v>
      </c>
      <c r="Q654" s="203">
        <f t="shared" si="147"/>
        <v>100</v>
      </c>
    </row>
    <row r="655" spans="2:17" x14ac:dyDescent="0.2">
      <c r="B655" s="72">
        <f t="shared" si="143"/>
        <v>647</v>
      </c>
      <c r="C655" s="12"/>
      <c r="D655" s="12"/>
      <c r="E655" s="12"/>
      <c r="F655" s="52" t="s">
        <v>165</v>
      </c>
      <c r="G655" s="12">
        <v>620</v>
      </c>
      <c r="H655" s="12" t="s">
        <v>130</v>
      </c>
      <c r="I655" s="49">
        <f>6095+80</f>
        <v>6175</v>
      </c>
      <c r="J655" s="49">
        <v>6175</v>
      </c>
      <c r="K655" s="198">
        <f t="shared" si="144"/>
        <v>100</v>
      </c>
      <c r="L655" s="49"/>
      <c r="M655" s="49"/>
      <c r="N655" s="201"/>
      <c r="O655" s="49">
        <f t="shared" si="145"/>
        <v>6175</v>
      </c>
      <c r="P655" s="49">
        <f t="shared" si="146"/>
        <v>6175</v>
      </c>
      <c r="Q655" s="203">
        <f t="shared" si="147"/>
        <v>100</v>
      </c>
    </row>
    <row r="656" spans="2:17" x14ac:dyDescent="0.2">
      <c r="B656" s="72">
        <f t="shared" si="143"/>
        <v>648</v>
      </c>
      <c r="C656" s="12"/>
      <c r="D656" s="12"/>
      <c r="E656" s="12"/>
      <c r="F656" s="52" t="s">
        <v>165</v>
      </c>
      <c r="G656" s="12">
        <v>630</v>
      </c>
      <c r="H656" s="12" t="s">
        <v>127</v>
      </c>
      <c r="I656" s="49">
        <f>I659+I658+I657</f>
        <v>2769</v>
      </c>
      <c r="J656" s="49">
        <f>J659+J658+J657</f>
        <v>2744</v>
      </c>
      <c r="K656" s="198">
        <f t="shared" si="144"/>
        <v>99.097146984470925</v>
      </c>
      <c r="L656" s="49">
        <f>L659+L658+L657</f>
        <v>0</v>
      </c>
      <c r="M656" s="49">
        <f>M659+M658+M657</f>
        <v>0</v>
      </c>
      <c r="N656" s="201"/>
      <c r="O656" s="49">
        <f t="shared" si="145"/>
        <v>2769</v>
      </c>
      <c r="P656" s="49">
        <f t="shared" si="146"/>
        <v>2744</v>
      </c>
      <c r="Q656" s="203">
        <f t="shared" si="147"/>
        <v>99.097146984470925</v>
      </c>
    </row>
    <row r="657" spans="2:17" x14ac:dyDescent="0.2">
      <c r="B657" s="72">
        <f t="shared" si="143"/>
        <v>649</v>
      </c>
      <c r="C657" s="4"/>
      <c r="D657" s="4"/>
      <c r="E657" s="4"/>
      <c r="F657" s="53" t="s">
        <v>165</v>
      </c>
      <c r="G657" s="4">
        <v>633</v>
      </c>
      <c r="H657" s="4" t="s">
        <v>131</v>
      </c>
      <c r="I657" s="23">
        <f>1500+637-326</f>
        <v>1811</v>
      </c>
      <c r="J657" s="23">
        <v>1787</v>
      </c>
      <c r="K657" s="198">
        <f t="shared" si="144"/>
        <v>98.674765323025952</v>
      </c>
      <c r="L657" s="23"/>
      <c r="M657" s="23"/>
      <c r="N657" s="201"/>
      <c r="O657" s="23">
        <f t="shared" si="145"/>
        <v>1811</v>
      </c>
      <c r="P657" s="23">
        <f t="shared" si="146"/>
        <v>1787</v>
      </c>
      <c r="Q657" s="203">
        <f t="shared" si="147"/>
        <v>98.674765323025952</v>
      </c>
    </row>
    <row r="658" spans="2:17" x14ac:dyDescent="0.2">
      <c r="B658" s="72">
        <f t="shared" si="143"/>
        <v>650</v>
      </c>
      <c r="C658" s="4"/>
      <c r="D658" s="4"/>
      <c r="E658" s="4"/>
      <c r="F658" s="53" t="s">
        <v>165</v>
      </c>
      <c r="G658" s="4">
        <v>635</v>
      </c>
      <c r="H658" s="4" t="s">
        <v>137</v>
      </c>
      <c r="I658" s="23">
        <f>200+189+169</f>
        <v>558</v>
      </c>
      <c r="J658" s="23">
        <v>558</v>
      </c>
      <c r="K658" s="198">
        <f t="shared" si="144"/>
        <v>100</v>
      </c>
      <c r="L658" s="23"/>
      <c r="M658" s="23"/>
      <c r="N658" s="201"/>
      <c r="O658" s="23">
        <f t="shared" si="145"/>
        <v>558</v>
      </c>
      <c r="P658" s="23">
        <f t="shared" si="146"/>
        <v>558</v>
      </c>
      <c r="Q658" s="203">
        <f t="shared" si="147"/>
        <v>100</v>
      </c>
    </row>
    <row r="659" spans="2:17" x14ac:dyDescent="0.2">
      <c r="B659" s="72">
        <f t="shared" si="143"/>
        <v>651</v>
      </c>
      <c r="C659" s="4"/>
      <c r="D659" s="4"/>
      <c r="E659" s="4"/>
      <c r="F659" s="53" t="s">
        <v>165</v>
      </c>
      <c r="G659" s="4">
        <v>637</v>
      </c>
      <c r="H659" s="4" t="s">
        <v>128</v>
      </c>
      <c r="I659" s="23">
        <f>1440-900-140</f>
        <v>400</v>
      </c>
      <c r="J659" s="23">
        <v>399</v>
      </c>
      <c r="K659" s="198">
        <f t="shared" si="144"/>
        <v>99.75</v>
      </c>
      <c r="L659" s="23"/>
      <c r="M659" s="23"/>
      <c r="N659" s="201"/>
      <c r="O659" s="23">
        <f t="shared" si="145"/>
        <v>400</v>
      </c>
      <c r="P659" s="23">
        <f t="shared" si="146"/>
        <v>399</v>
      </c>
      <c r="Q659" s="203">
        <f t="shared" si="147"/>
        <v>99.75</v>
      </c>
    </row>
    <row r="660" spans="2:17" x14ac:dyDescent="0.2">
      <c r="B660" s="72">
        <f t="shared" si="143"/>
        <v>652</v>
      </c>
      <c r="C660" s="11"/>
      <c r="D660" s="11"/>
      <c r="E660" s="11" t="s">
        <v>95</v>
      </c>
      <c r="F660" s="51"/>
      <c r="G660" s="11"/>
      <c r="H660" s="11" t="s">
        <v>96</v>
      </c>
      <c r="I660" s="48">
        <f>I663+I662+I661+I667</f>
        <v>16071</v>
      </c>
      <c r="J660" s="48">
        <f>J663+J662+J661+J667</f>
        <v>15710</v>
      </c>
      <c r="K660" s="198">
        <f t="shared" si="144"/>
        <v>97.753717876921158</v>
      </c>
      <c r="L660" s="48">
        <f>L663+L662+L661</f>
        <v>0</v>
      </c>
      <c r="M660" s="48">
        <f>M663+M662+M661</f>
        <v>0</v>
      </c>
      <c r="N660" s="201"/>
      <c r="O660" s="48">
        <f t="shared" si="145"/>
        <v>16071</v>
      </c>
      <c r="P660" s="48">
        <f t="shared" si="146"/>
        <v>15710</v>
      </c>
      <c r="Q660" s="203">
        <f t="shared" si="147"/>
        <v>97.753717876921158</v>
      </c>
    </row>
    <row r="661" spans="2:17" x14ac:dyDescent="0.2">
      <c r="B661" s="72">
        <f t="shared" si="143"/>
        <v>653</v>
      </c>
      <c r="C661" s="12"/>
      <c r="D661" s="12"/>
      <c r="E661" s="12"/>
      <c r="F661" s="52" t="s">
        <v>165</v>
      </c>
      <c r="G661" s="12">
        <v>610</v>
      </c>
      <c r="H661" s="12" t="s">
        <v>135</v>
      </c>
      <c r="I661" s="49">
        <f>8831+285</f>
        <v>9116</v>
      </c>
      <c r="J661" s="49">
        <v>9116</v>
      </c>
      <c r="K661" s="198">
        <f t="shared" si="144"/>
        <v>100</v>
      </c>
      <c r="L661" s="49"/>
      <c r="M661" s="49"/>
      <c r="N661" s="201"/>
      <c r="O661" s="49">
        <f t="shared" si="145"/>
        <v>9116</v>
      </c>
      <c r="P661" s="49">
        <f t="shared" si="146"/>
        <v>9116</v>
      </c>
      <c r="Q661" s="203">
        <f t="shared" si="147"/>
        <v>100</v>
      </c>
    </row>
    <row r="662" spans="2:17" x14ac:dyDescent="0.2">
      <c r="B662" s="72">
        <f t="shared" si="143"/>
        <v>654</v>
      </c>
      <c r="C662" s="12"/>
      <c r="D662" s="12"/>
      <c r="E662" s="12"/>
      <c r="F662" s="52" t="s">
        <v>165</v>
      </c>
      <c r="G662" s="12">
        <v>620</v>
      </c>
      <c r="H662" s="12" t="s">
        <v>130</v>
      </c>
      <c r="I662" s="49">
        <f>3281-285</f>
        <v>2996</v>
      </c>
      <c r="J662" s="49">
        <v>2996</v>
      </c>
      <c r="K662" s="198">
        <f t="shared" si="144"/>
        <v>100</v>
      </c>
      <c r="L662" s="49"/>
      <c r="M662" s="49"/>
      <c r="N662" s="201"/>
      <c r="O662" s="49">
        <f t="shared" si="145"/>
        <v>2996</v>
      </c>
      <c r="P662" s="49">
        <f t="shared" si="146"/>
        <v>2996</v>
      </c>
      <c r="Q662" s="203">
        <f t="shared" si="147"/>
        <v>100</v>
      </c>
    </row>
    <row r="663" spans="2:17" x14ac:dyDescent="0.2">
      <c r="B663" s="72">
        <f t="shared" si="143"/>
        <v>655</v>
      </c>
      <c r="C663" s="12"/>
      <c r="D663" s="12"/>
      <c r="E663" s="12"/>
      <c r="F663" s="52" t="s">
        <v>165</v>
      </c>
      <c r="G663" s="12">
        <v>630</v>
      </c>
      <c r="H663" s="12" t="s">
        <v>127</v>
      </c>
      <c r="I663" s="49">
        <f>I666+I665+I664</f>
        <v>3880</v>
      </c>
      <c r="J663" s="49">
        <f>J666+J665+J664</f>
        <v>3519</v>
      </c>
      <c r="K663" s="198">
        <f t="shared" si="144"/>
        <v>90.69587628865979</v>
      </c>
      <c r="L663" s="49">
        <f>L666+L665+L664</f>
        <v>0</v>
      </c>
      <c r="M663" s="49">
        <f>M666+M665+M664</f>
        <v>0</v>
      </c>
      <c r="N663" s="201"/>
      <c r="O663" s="49">
        <f t="shared" si="145"/>
        <v>3880</v>
      </c>
      <c r="P663" s="49">
        <f t="shared" si="146"/>
        <v>3519</v>
      </c>
      <c r="Q663" s="203">
        <f t="shared" si="147"/>
        <v>90.69587628865979</v>
      </c>
    </row>
    <row r="664" spans="2:17" x14ac:dyDescent="0.2">
      <c r="B664" s="72">
        <f t="shared" si="143"/>
        <v>656</v>
      </c>
      <c r="C664" s="4"/>
      <c r="D664" s="4"/>
      <c r="E664" s="4"/>
      <c r="F664" s="53" t="s">
        <v>165</v>
      </c>
      <c r="G664" s="4">
        <v>633</v>
      </c>
      <c r="H664" s="4" t="s">
        <v>131</v>
      </c>
      <c r="I664" s="23">
        <f>2780+350</f>
        <v>3130</v>
      </c>
      <c r="J664" s="23">
        <v>3130</v>
      </c>
      <c r="K664" s="198">
        <f t="shared" si="144"/>
        <v>100</v>
      </c>
      <c r="L664" s="23"/>
      <c r="M664" s="23"/>
      <c r="N664" s="201"/>
      <c r="O664" s="23">
        <f t="shared" si="145"/>
        <v>3130</v>
      </c>
      <c r="P664" s="23">
        <f t="shared" si="146"/>
        <v>3130</v>
      </c>
      <c r="Q664" s="203">
        <f t="shared" si="147"/>
        <v>100</v>
      </c>
    </row>
    <row r="665" spans="2:17" x14ac:dyDescent="0.2">
      <c r="B665" s="72">
        <f t="shared" si="143"/>
        <v>657</v>
      </c>
      <c r="C665" s="4"/>
      <c r="D665" s="4"/>
      <c r="E665" s="4"/>
      <c r="F665" s="53" t="s">
        <v>165</v>
      </c>
      <c r="G665" s="4">
        <v>635</v>
      </c>
      <c r="H665" s="4" t="s">
        <v>137</v>
      </c>
      <c r="I665" s="23">
        <v>200</v>
      </c>
      <c r="J665" s="23">
        <v>0</v>
      </c>
      <c r="K665" s="198">
        <f t="shared" si="144"/>
        <v>0</v>
      </c>
      <c r="L665" s="23"/>
      <c r="M665" s="23"/>
      <c r="N665" s="201"/>
      <c r="O665" s="23">
        <f t="shared" si="145"/>
        <v>200</v>
      </c>
      <c r="P665" s="23">
        <f t="shared" si="146"/>
        <v>0</v>
      </c>
      <c r="Q665" s="203">
        <f t="shared" si="147"/>
        <v>0</v>
      </c>
    </row>
    <row r="666" spans="2:17" x14ac:dyDescent="0.2">
      <c r="B666" s="72">
        <f t="shared" si="143"/>
        <v>658</v>
      </c>
      <c r="C666" s="4"/>
      <c r="D666" s="4"/>
      <c r="E666" s="4"/>
      <c r="F666" s="53" t="s">
        <v>165</v>
      </c>
      <c r="G666" s="4">
        <v>637</v>
      </c>
      <c r="H666" s="4" t="s">
        <v>128</v>
      </c>
      <c r="I666" s="23">
        <f>900-350</f>
        <v>550</v>
      </c>
      <c r="J666" s="23">
        <v>389</v>
      </c>
      <c r="K666" s="198">
        <f t="shared" si="144"/>
        <v>70.727272727272734</v>
      </c>
      <c r="L666" s="23"/>
      <c r="M666" s="23"/>
      <c r="N666" s="201"/>
      <c r="O666" s="23">
        <f t="shared" si="145"/>
        <v>550</v>
      </c>
      <c r="P666" s="23">
        <f t="shared" si="146"/>
        <v>389</v>
      </c>
      <c r="Q666" s="203">
        <f t="shared" si="147"/>
        <v>70.727272727272734</v>
      </c>
    </row>
    <row r="667" spans="2:17" x14ac:dyDescent="0.2">
      <c r="B667" s="72">
        <f t="shared" si="143"/>
        <v>659</v>
      </c>
      <c r="C667" s="4"/>
      <c r="D667" s="4"/>
      <c r="E667" s="4"/>
      <c r="F667" s="52" t="s">
        <v>165</v>
      </c>
      <c r="G667" s="12">
        <v>640</v>
      </c>
      <c r="H667" s="12" t="s">
        <v>134</v>
      </c>
      <c r="I667" s="49">
        <v>79</v>
      </c>
      <c r="J667" s="49">
        <v>79</v>
      </c>
      <c r="K667" s="198">
        <f t="shared" si="144"/>
        <v>100</v>
      </c>
      <c r="L667" s="49"/>
      <c r="M667" s="49"/>
      <c r="N667" s="201"/>
      <c r="O667" s="49">
        <f t="shared" si="145"/>
        <v>79</v>
      </c>
      <c r="P667" s="49">
        <f t="shared" si="146"/>
        <v>79</v>
      </c>
      <c r="Q667" s="203">
        <f t="shared" si="147"/>
        <v>100</v>
      </c>
    </row>
    <row r="668" spans="2:17" x14ac:dyDescent="0.2">
      <c r="B668" s="72">
        <f t="shared" si="143"/>
        <v>660</v>
      </c>
      <c r="C668" s="11"/>
      <c r="D668" s="11"/>
      <c r="E668" s="11" t="s">
        <v>88</v>
      </c>
      <c r="F668" s="51"/>
      <c r="G668" s="11"/>
      <c r="H668" s="11" t="s">
        <v>208</v>
      </c>
      <c r="I668" s="48">
        <f>I671+I670+I669</f>
        <v>20653</v>
      </c>
      <c r="J668" s="48">
        <f>J671+J670+J669</f>
        <v>20543</v>
      </c>
      <c r="K668" s="198">
        <f t="shared" si="144"/>
        <v>99.467389725463619</v>
      </c>
      <c r="L668" s="48">
        <f>L671+L670+L669</f>
        <v>0</v>
      </c>
      <c r="M668" s="48">
        <f>M671+M670+M669</f>
        <v>0</v>
      </c>
      <c r="N668" s="201"/>
      <c r="O668" s="48">
        <f t="shared" si="145"/>
        <v>20653</v>
      </c>
      <c r="P668" s="48">
        <f t="shared" si="146"/>
        <v>20543</v>
      </c>
      <c r="Q668" s="203">
        <f t="shared" si="147"/>
        <v>99.467389725463619</v>
      </c>
    </row>
    <row r="669" spans="2:17" x14ac:dyDescent="0.2">
      <c r="B669" s="72">
        <f t="shared" si="143"/>
        <v>661</v>
      </c>
      <c r="C669" s="12"/>
      <c r="D669" s="12"/>
      <c r="E669" s="12"/>
      <c r="F669" s="52" t="s">
        <v>165</v>
      </c>
      <c r="G669" s="12">
        <v>610</v>
      </c>
      <c r="H669" s="12" t="s">
        <v>135</v>
      </c>
      <c r="I669" s="49">
        <f>13458+16</f>
        <v>13474</v>
      </c>
      <c r="J669" s="49">
        <v>13474</v>
      </c>
      <c r="K669" s="198">
        <f t="shared" si="144"/>
        <v>100</v>
      </c>
      <c r="L669" s="49"/>
      <c r="M669" s="49"/>
      <c r="N669" s="201"/>
      <c r="O669" s="49">
        <f t="shared" si="145"/>
        <v>13474</v>
      </c>
      <c r="P669" s="49">
        <f t="shared" si="146"/>
        <v>13474</v>
      </c>
      <c r="Q669" s="203">
        <f t="shared" si="147"/>
        <v>100</v>
      </c>
    </row>
    <row r="670" spans="2:17" x14ac:dyDescent="0.2">
      <c r="B670" s="72">
        <f t="shared" si="143"/>
        <v>662</v>
      </c>
      <c r="C670" s="12"/>
      <c r="D670" s="12"/>
      <c r="E670" s="12"/>
      <c r="F670" s="52" t="s">
        <v>165</v>
      </c>
      <c r="G670" s="12">
        <v>620</v>
      </c>
      <c r="H670" s="12" t="s">
        <v>130</v>
      </c>
      <c r="I670" s="49">
        <f>5000-16</f>
        <v>4984</v>
      </c>
      <c r="J670" s="49">
        <v>4984</v>
      </c>
      <c r="K670" s="198">
        <f t="shared" ref="K670:K683" si="148">J670/I670*100</f>
        <v>100</v>
      </c>
      <c r="L670" s="49"/>
      <c r="M670" s="49"/>
      <c r="N670" s="201"/>
      <c r="O670" s="49">
        <f t="shared" si="145"/>
        <v>4984</v>
      </c>
      <c r="P670" s="49">
        <f t="shared" si="146"/>
        <v>4984</v>
      </c>
      <c r="Q670" s="203">
        <f t="shared" si="147"/>
        <v>100</v>
      </c>
    </row>
    <row r="671" spans="2:17" x14ac:dyDescent="0.2">
      <c r="B671" s="72">
        <f t="shared" si="143"/>
        <v>663</v>
      </c>
      <c r="C671" s="12"/>
      <c r="D671" s="12"/>
      <c r="E671" s="12"/>
      <c r="F671" s="52" t="s">
        <v>165</v>
      </c>
      <c r="G671" s="12">
        <v>630</v>
      </c>
      <c r="H671" s="12" t="s">
        <v>127</v>
      </c>
      <c r="I671" s="49">
        <f>I674+I673+I672</f>
        <v>2195</v>
      </c>
      <c r="J671" s="49">
        <f>J674+J673+J672</f>
        <v>2085</v>
      </c>
      <c r="K671" s="198">
        <f t="shared" si="148"/>
        <v>94.988610478359917</v>
      </c>
      <c r="L671" s="49">
        <f>L674+L673+L672</f>
        <v>0</v>
      </c>
      <c r="M671" s="49">
        <f>M674+M673+M672</f>
        <v>0</v>
      </c>
      <c r="N671" s="201"/>
      <c r="O671" s="49">
        <f t="shared" ref="O671:O684" si="149">L671+I671</f>
        <v>2195</v>
      </c>
      <c r="P671" s="49">
        <f t="shared" ref="P671:P684" si="150">M671+J671</f>
        <v>2085</v>
      </c>
      <c r="Q671" s="203">
        <f t="shared" ref="Q671:Q693" si="151">P671/O671*100</f>
        <v>94.988610478359917</v>
      </c>
    </row>
    <row r="672" spans="2:17" x14ac:dyDescent="0.2">
      <c r="B672" s="72">
        <f t="shared" si="143"/>
        <v>664</v>
      </c>
      <c r="C672" s="4"/>
      <c r="D672" s="4"/>
      <c r="E672" s="4"/>
      <c r="F672" s="53" t="s">
        <v>165</v>
      </c>
      <c r="G672" s="4">
        <v>633</v>
      </c>
      <c r="H672" s="4" t="s">
        <v>131</v>
      </c>
      <c r="I672" s="23">
        <v>1720</v>
      </c>
      <c r="J672" s="23">
        <v>1720</v>
      </c>
      <c r="K672" s="198">
        <f t="shared" si="148"/>
        <v>100</v>
      </c>
      <c r="L672" s="23"/>
      <c r="M672" s="23"/>
      <c r="N672" s="201"/>
      <c r="O672" s="23">
        <f t="shared" si="149"/>
        <v>1720</v>
      </c>
      <c r="P672" s="23">
        <f t="shared" si="150"/>
        <v>1720</v>
      </c>
      <c r="Q672" s="203">
        <f t="shared" si="151"/>
        <v>100</v>
      </c>
    </row>
    <row r="673" spans="2:17" x14ac:dyDescent="0.2">
      <c r="B673" s="72">
        <f t="shared" ref="B673:B735" si="152">B672+1</f>
        <v>665</v>
      </c>
      <c r="C673" s="4"/>
      <c r="D673" s="4"/>
      <c r="E673" s="4"/>
      <c r="F673" s="53" t="s">
        <v>165</v>
      </c>
      <c r="G673" s="4">
        <v>635</v>
      </c>
      <c r="H673" s="4" t="s">
        <v>137</v>
      </c>
      <c r="I673" s="23">
        <v>50</v>
      </c>
      <c r="J673" s="23">
        <v>10</v>
      </c>
      <c r="K673" s="198">
        <f t="shared" si="148"/>
        <v>20</v>
      </c>
      <c r="L673" s="23"/>
      <c r="M673" s="23"/>
      <c r="N673" s="201"/>
      <c r="O673" s="23">
        <f t="shared" si="149"/>
        <v>50</v>
      </c>
      <c r="P673" s="23">
        <f t="shared" si="150"/>
        <v>10</v>
      </c>
      <c r="Q673" s="203">
        <f t="shared" si="151"/>
        <v>20</v>
      </c>
    </row>
    <row r="674" spans="2:17" x14ac:dyDescent="0.2">
      <c r="B674" s="72">
        <f t="shared" si="152"/>
        <v>666</v>
      </c>
      <c r="C674" s="4"/>
      <c r="D674" s="4"/>
      <c r="E674" s="4"/>
      <c r="F674" s="53" t="s">
        <v>165</v>
      </c>
      <c r="G674" s="4">
        <v>637</v>
      </c>
      <c r="H674" s="4" t="s">
        <v>128</v>
      </c>
      <c r="I674" s="23">
        <f>1125-700</f>
        <v>425</v>
      </c>
      <c r="J674" s="23">
        <v>355</v>
      </c>
      <c r="K674" s="198">
        <f t="shared" si="148"/>
        <v>83.529411764705884</v>
      </c>
      <c r="L674" s="23"/>
      <c r="M674" s="23"/>
      <c r="N674" s="201"/>
      <c r="O674" s="23">
        <f t="shared" si="149"/>
        <v>425</v>
      </c>
      <c r="P674" s="23">
        <f t="shared" si="150"/>
        <v>355</v>
      </c>
      <c r="Q674" s="203">
        <f t="shared" si="151"/>
        <v>83.529411764705884</v>
      </c>
    </row>
    <row r="675" spans="2:17" x14ac:dyDescent="0.2">
      <c r="B675" s="72">
        <f t="shared" si="152"/>
        <v>667</v>
      </c>
      <c r="C675" s="11"/>
      <c r="D675" s="11"/>
      <c r="E675" s="11" t="s">
        <v>89</v>
      </c>
      <c r="F675" s="51"/>
      <c r="G675" s="11"/>
      <c r="H675" s="11" t="s">
        <v>90</v>
      </c>
      <c r="I675" s="48">
        <f>I678+I677+I676+I683</f>
        <v>43940</v>
      </c>
      <c r="J675" s="48">
        <f>J678+J677+J676+J683</f>
        <v>43851</v>
      </c>
      <c r="K675" s="198">
        <f t="shared" si="148"/>
        <v>99.797451069640417</v>
      </c>
      <c r="L675" s="48">
        <f>L678+L677+L676+L684</f>
        <v>2636</v>
      </c>
      <c r="M675" s="48">
        <f>M678+M677+M676+M684</f>
        <v>2636</v>
      </c>
      <c r="N675" s="201">
        <f t="shared" ref="N675:N703" si="153">M675/L675*100</f>
        <v>100</v>
      </c>
      <c r="O675" s="48">
        <f t="shared" si="149"/>
        <v>46576</v>
      </c>
      <c r="P675" s="48">
        <f t="shared" si="150"/>
        <v>46487</v>
      </c>
      <c r="Q675" s="203">
        <f t="shared" si="151"/>
        <v>99.808914462384053</v>
      </c>
    </row>
    <row r="676" spans="2:17" x14ac:dyDescent="0.2">
      <c r="B676" s="72">
        <f t="shared" si="152"/>
        <v>668</v>
      </c>
      <c r="C676" s="12"/>
      <c r="D676" s="12"/>
      <c r="E676" s="12"/>
      <c r="F676" s="52" t="s">
        <v>165</v>
      </c>
      <c r="G676" s="12">
        <v>610</v>
      </c>
      <c r="H676" s="12" t="s">
        <v>135</v>
      </c>
      <c r="I676" s="49">
        <f>27677-90</f>
        <v>27587</v>
      </c>
      <c r="J676" s="49">
        <v>27587</v>
      </c>
      <c r="K676" s="198">
        <f t="shared" si="148"/>
        <v>100</v>
      </c>
      <c r="L676" s="49"/>
      <c r="M676" s="49"/>
      <c r="N676" s="201"/>
      <c r="O676" s="49">
        <f t="shared" si="149"/>
        <v>27587</v>
      </c>
      <c r="P676" s="49">
        <f t="shared" si="150"/>
        <v>27587</v>
      </c>
      <c r="Q676" s="203">
        <f t="shared" si="151"/>
        <v>100</v>
      </c>
    </row>
    <row r="677" spans="2:17" x14ac:dyDescent="0.2">
      <c r="B677" s="72">
        <f t="shared" si="152"/>
        <v>669</v>
      </c>
      <c r="C677" s="12"/>
      <c r="D677" s="12"/>
      <c r="E677" s="12"/>
      <c r="F677" s="52" t="s">
        <v>165</v>
      </c>
      <c r="G677" s="12">
        <v>620</v>
      </c>
      <c r="H677" s="12" t="s">
        <v>130</v>
      </c>
      <c r="I677" s="49">
        <f>10282+90</f>
        <v>10372</v>
      </c>
      <c r="J677" s="49">
        <v>10372</v>
      </c>
      <c r="K677" s="198">
        <f t="shared" si="148"/>
        <v>100</v>
      </c>
      <c r="L677" s="49"/>
      <c r="M677" s="49"/>
      <c r="N677" s="201"/>
      <c r="O677" s="49">
        <f t="shared" si="149"/>
        <v>10372</v>
      </c>
      <c r="P677" s="49">
        <f t="shared" si="150"/>
        <v>10372</v>
      </c>
      <c r="Q677" s="203">
        <f t="shared" si="151"/>
        <v>100</v>
      </c>
    </row>
    <row r="678" spans="2:17" x14ac:dyDescent="0.2">
      <c r="B678" s="72">
        <f t="shared" si="152"/>
        <v>670</v>
      </c>
      <c r="C678" s="12"/>
      <c r="D678" s="12"/>
      <c r="E678" s="12"/>
      <c r="F678" s="52" t="s">
        <v>165</v>
      </c>
      <c r="G678" s="12">
        <v>630</v>
      </c>
      <c r="H678" s="12" t="s">
        <v>127</v>
      </c>
      <c r="I678" s="49">
        <f>I682+I681+I680+I679</f>
        <v>5897</v>
      </c>
      <c r="J678" s="49">
        <f>J682+J681+J680+J679</f>
        <v>5808</v>
      </c>
      <c r="K678" s="198">
        <f t="shared" si="148"/>
        <v>98.490758012548753</v>
      </c>
      <c r="L678" s="49">
        <f>L682+L681+L680+L679</f>
        <v>0</v>
      </c>
      <c r="M678" s="49">
        <f>M682+M681+M680+M679</f>
        <v>0</v>
      </c>
      <c r="N678" s="201"/>
      <c r="O678" s="49">
        <f t="shared" si="149"/>
        <v>5897</v>
      </c>
      <c r="P678" s="49">
        <f t="shared" si="150"/>
        <v>5808</v>
      </c>
      <c r="Q678" s="203">
        <f t="shared" si="151"/>
        <v>98.490758012548753</v>
      </c>
    </row>
    <row r="679" spans="2:17" x14ac:dyDescent="0.2">
      <c r="B679" s="72">
        <f t="shared" si="152"/>
        <v>671</v>
      </c>
      <c r="C679" s="4"/>
      <c r="D679" s="4"/>
      <c r="E679" s="4"/>
      <c r="F679" s="53" t="s">
        <v>165</v>
      </c>
      <c r="G679" s="4">
        <v>632</v>
      </c>
      <c r="H679" s="4" t="s">
        <v>138</v>
      </c>
      <c r="I679" s="23">
        <f>580+28</f>
        <v>608</v>
      </c>
      <c r="J679" s="23">
        <v>608</v>
      </c>
      <c r="K679" s="198">
        <f t="shared" si="148"/>
        <v>100</v>
      </c>
      <c r="L679" s="23"/>
      <c r="M679" s="23"/>
      <c r="N679" s="201"/>
      <c r="O679" s="23">
        <f t="shared" si="149"/>
        <v>608</v>
      </c>
      <c r="P679" s="23">
        <f t="shared" si="150"/>
        <v>608</v>
      </c>
      <c r="Q679" s="203">
        <f t="shared" si="151"/>
        <v>100</v>
      </c>
    </row>
    <row r="680" spans="2:17" x14ac:dyDescent="0.2">
      <c r="B680" s="72">
        <f t="shared" si="152"/>
        <v>672</v>
      </c>
      <c r="C680" s="4"/>
      <c r="D680" s="4"/>
      <c r="E680" s="4"/>
      <c r="F680" s="53" t="s">
        <v>165</v>
      </c>
      <c r="G680" s="4">
        <v>633</v>
      </c>
      <c r="H680" s="4" t="s">
        <v>131</v>
      </c>
      <c r="I680" s="23">
        <f>4150-836-1853</f>
        <v>1461</v>
      </c>
      <c r="J680" s="23">
        <v>1378</v>
      </c>
      <c r="K680" s="198">
        <f t="shared" si="148"/>
        <v>94.318959616700894</v>
      </c>
      <c r="L680" s="23"/>
      <c r="M680" s="23"/>
      <c r="N680" s="201"/>
      <c r="O680" s="23">
        <f t="shared" si="149"/>
        <v>1461</v>
      </c>
      <c r="P680" s="23">
        <f t="shared" si="150"/>
        <v>1378</v>
      </c>
      <c r="Q680" s="203">
        <f t="shared" si="151"/>
        <v>94.318959616700894</v>
      </c>
    </row>
    <row r="681" spans="2:17" x14ac:dyDescent="0.2">
      <c r="B681" s="72">
        <f t="shared" si="152"/>
        <v>673</v>
      </c>
      <c r="C681" s="4"/>
      <c r="D681" s="4"/>
      <c r="E681" s="4"/>
      <c r="F681" s="53" t="s">
        <v>165</v>
      </c>
      <c r="G681" s="4">
        <v>635</v>
      </c>
      <c r="H681" s="4" t="s">
        <v>137</v>
      </c>
      <c r="I681" s="23">
        <f>100+1436</f>
        <v>1536</v>
      </c>
      <c r="J681" s="23">
        <v>1536</v>
      </c>
      <c r="K681" s="198">
        <f t="shared" si="148"/>
        <v>100</v>
      </c>
      <c r="L681" s="23"/>
      <c r="M681" s="23"/>
      <c r="N681" s="201"/>
      <c r="O681" s="23">
        <f t="shared" si="149"/>
        <v>1536</v>
      </c>
      <c r="P681" s="23">
        <f t="shared" si="150"/>
        <v>1536</v>
      </c>
      <c r="Q681" s="203">
        <f t="shared" si="151"/>
        <v>100</v>
      </c>
    </row>
    <row r="682" spans="2:17" x14ac:dyDescent="0.2">
      <c r="B682" s="72">
        <f t="shared" si="152"/>
        <v>674</v>
      </c>
      <c r="C682" s="4"/>
      <c r="D682" s="4"/>
      <c r="E682" s="4"/>
      <c r="F682" s="53" t="s">
        <v>165</v>
      </c>
      <c r="G682" s="4">
        <v>637</v>
      </c>
      <c r="H682" s="4" t="s">
        <v>128</v>
      </c>
      <c r="I682" s="23">
        <f>2920-600-28</f>
        <v>2292</v>
      </c>
      <c r="J682" s="23">
        <v>2286</v>
      </c>
      <c r="K682" s="198">
        <f t="shared" si="148"/>
        <v>99.738219895287955</v>
      </c>
      <c r="L682" s="23"/>
      <c r="M682" s="23"/>
      <c r="N682" s="201"/>
      <c r="O682" s="23">
        <f t="shared" si="149"/>
        <v>2292</v>
      </c>
      <c r="P682" s="23">
        <f t="shared" si="150"/>
        <v>2286</v>
      </c>
      <c r="Q682" s="203">
        <f t="shared" si="151"/>
        <v>99.738219895287955</v>
      </c>
    </row>
    <row r="683" spans="2:17" x14ac:dyDescent="0.2">
      <c r="B683" s="72">
        <f t="shared" si="152"/>
        <v>675</v>
      </c>
      <c r="C683" s="4"/>
      <c r="D683" s="4"/>
      <c r="E683" s="4"/>
      <c r="F683" s="52" t="s">
        <v>165</v>
      </c>
      <c r="G683" s="12">
        <v>640</v>
      </c>
      <c r="H683" s="12" t="s">
        <v>134</v>
      </c>
      <c r="I683" s="49">
        <v>84</v>
      </c>
      <c r="J683" s="49">
        <v>84</v>
      </c>
      <c r="K683" s="198">
        <f t="shared" si="148"/>
        <v>100</v>
      </c>
      <c r="L683" s="49"/>
      <c r="M683" s="49"/>
      <c r="N683" s="201"/>
      <c r="O683" s="49">
        <f t="shared" si="149"/>
        <v>84</v>
      </c>
      <c r="P683" s="49">
        <f t="shared" si="150"/>
        <v>84</v>
      </c>
      <c r="Q683" s="203">
        <f t="shared" si="151"/>
        <v>100</v>
      </c>
    </row>
    <row r="684" spans="2:17" x14ac:dyDescent="0.2">
      <c r="B684" s="72">
        <f t="shared" si="152"/>
        <v>676</v>
      </c>
      <c r="C684" s="4"/>
      <c r="D684" s="4"/>
      <c r="E684" s="4"/>
      <c r="F684" s="52" t="s">
        <v>165</v>
      </c>
      <c r="G684" s="12">
        <v>710</v>
      </c>
      <c r="H684" s="12" t="s">
        <v>183</v>
      </c>
      <c r="I684" s="49">
        <v>0</v>
      </c>
      <c r="J684" s="49">
        <v>0</v>
      </c>
      <c r="K684" s="198"/>
      <c r="L684" s="49">
        <f>L685</f>
        <v>2636</v>
      </c>
      <c r="M684" s="49">
        <f>M685</f>
        <v>2636</v>
      </c>
      <c r="N684" s="201">
        <f t="shared" si="153"/>
        <v>100</v>
      </c>
      <c r="O684" s="49">
        <f t="shared" si="149"/>
        <v>2636</v>
      </c>
      <c r="P684" s="49">
        <f t="shared" si="150"/>
        <v>2636</v>
      </c>
      <c r="Q684" s="203">
        <f t="shared" si="151"/>
        <v>100</v>
      </c>
    </row>
    <row r="685" spans="2:17" x14ac:dyDescent="0.2">
      <c r="B685" s="72">
        <f t="shared" si="152"/>
        <v>677</v>
      </c>
      <c r="C685" s="4"/>
      <c r="D685" s="4"/>
      <c r="E685" s="4"/>
      <c r="F685" s="82" t="s">
        <v>165</v>
      </c>
      <c r="G685" s="83">
        <v>713</v>
      </c>
      <c r="H685" s="83" t="s">
        <v>757</v>
      </c>
      <c r="I685" s="84"/>
      <c r="J685" s="84"/>
      <c r="K685" s="198"/>
      <c r="L685" s="84">
        <v>2636</v>
      </c>
      <c r="M685" s="84">
        <v>2636</v>
      </c>
      <c r="N685" s="201">
        <f t="shared" si="153"/>
        <v>100</v>
      </c>
      <c r="O685" s="84">
        <f>I685+L685</f>
        <v>2636</v>
      </c>
      <c r="P685" s="84">
        <f>J685+M685</f>
        <v>2636</v>
      </c>
      <c r="Q685" s="203">
        <f t="shared" si="151"/>
        <v>100</v>
      </c>
    </row>
    <row r="686" spans="2:17" ht="15" x14ac:dyDescent="0.25">
      <c r="B686" s="72">
        <f t="shared" si="152"/>
        <v>678</v>
      </c>
      <c r="C686" s="15"/>
      <c r="D686" s="15"/>
      <c r="E686" s="15">
        <v>6</v>
      </c>
      <c r="F686" s="50"/>
      <c r="G686" s="15"/>
      <c r="H686" s="15" t="s">
        <v>81</v>
      </c>
      <c r="I686" s="47">
        <f>I687+I688+I689+I694+I695+I696+I701</f>
        <v>70383</v>
      </c>
      <c r="J686" s="47">
        <f>J687+J688+J689+J694+J695+J696+J701</f>
        <v>70383</v>
      </c>
      <c r="K686" s="198">
        <f t="shared" ref="K686:K693" si="154">J686/I686*100</f>
        <v>100</v>
      </c>
      <c r="L686" s="47">
        <f>L687+L688+L689+L694+L695+L696+L701+L702</f>
        <v>5600</v>
      </c>
      <c r="M686" s="47">
        <f>M687+M688+M689+M694+M695+M696+M701+M702</f>
        <v>4924</v>
      </c>
      <c r="N686" s="201">
        <f t="shared" si="153"/>
        <v>87.928571428571431</v>
      </c>
      <c r="O686" s="47">
        <f t="shared" ref="O686:O702" si="155">L686+I686</f>
        <v>75983</v>
      </c>
      <c r="P686" s="47">
        <f t="shared" ref="P686:P702" si="156">M686+J686</f>
        <v>75307</v>
      </c>
      <c r="Q686" s="203">
        <f t="shared" si="151"/>
        <v>99.110327310056206</v>
      </c>
    </row>
    <row r="687" spans="2:17" x14ac:dyDescent="0.2">
      <c r="B687" s="72">
        <f t="shared" si="152"/>
        <v>679</v>
      </c>
      <c r="C687" s="12"/>
      <c r="D687" s="12"/>
      <c r="E687" s="12"/>
      <c r="F687" s="52" t="s">
        <v>80</v>
      </c>
      <c r="G687" s="12">
        <v>610</v>
      </c>
      <c r="H687" s="12" t="s">
        <v>135</v>
      </c>
      <c r="I687" s="49">
        <f>20231+586+335</f>
        <v>21152</v>
      </c>
      <c r="J687" s="49">
        <v>21152</v>
      </c>
      <c r="K687" s="198">
        <f t="shared" si="154"/>
        <v>100</v>
      </c>
      <c r="L687" s="49"/>
      <c r="M687" s="49"/>
      <c r="N687" s="201"/>
      <c r="O687" s="49">
        <f t="shared" si="155"/>
        <v>21152</v>
      </c>
      <c r="P687" s="49">
        <f t="shared" si="156"/>
        <v>21152</v>
      </c>
      <c r="Q687" s="203">
        <f t="shared" si="151"/>
        <v>100</v>
      </c>
    </row>
    <row r="688" spans="2:17" x14ac:dyDescent="0.2">
      <c r="B688" s="72">
        <f t="shared" si="152"/>
        <v>680</v>
      </c>
      <c r="C688" s="12"/>
      <c r="D688" s="12"/>
      <c r="E688" s="12"/>
      <c r="F688" s="52" t="s">
        <v>80</v>
      </c>
      <c r="G688" s="12">
        <v>620</v>
      </c>
      <c r="H688" s="12" t="s">
        <v>130</v>
      </c>
      <c r="I688" s="49">
        <f>7616+168-335</f>
        <v>7449</v>
      </c>
      <c r="J688" s="49">
        <v>7449</v>
      </c>
      <c r="K688" s="198">
        <f t="shared" si="154"/>
        <v>100</v>
      </c>
      <c r="L688" s="49"/>
      <c r="M688" s="49"/>
      <c r="N688" s="201"/>
      <c r="O688" s="49">
        <f t="shared" si="155"/>
        <v>7449</v>
      </c>
      <c r="P688" s="49">
        <f t="shared" si="156"/>
        <v>7449</v>
      </c>
      <c r="Q688" s="203">
        <f t="shared" si="151"/>
        <v>100</v>
      </c>
    </row>
    <row r="689" spans="2:17" x14ac:dyDescent="0.2">
      <c r="B689" s="72">
        <f t="shared" si="152"/>
        <v>681</v>
      </c>
      <c r="C689" s="12"/>
      <c r="D689" s="12"/>
      <c r="E689" s="12"/>
      <c r="F689" s="52" t="s">
        <v>80</v>
      </c>
      <c r="G689" s="12">
        <v>630</v>
      </c>
      <c r="H689" s="12" t="s">
        <v>127</v>
      </c>
      <c r="I689" s="49">
        <f>I693+I692+I691+I690</f>
        <v>5733</v>
      </c>
      <c r="J689" s="49">
        <f>J693+J692+J691+J690</f>
        <v>5733</v>
      </c>
      <c r="K689" s="198">
        <f t="shared" si="154"/>
        <v>100</v>
      </c>
      <c r="L689" s="49">
        <f>L693+L692+L691+L690</f>
        <v>0</v>
      </c>
      <c r="M689" s="49">
        <f>M693+M692+M691+M690</f>
        <v>0</v>
      </c>
      <c r="N689" s="201"/>
      <c r="O689" s="49">
        <f t="shared" si="155"/>
        <v>5733</v>
      </c>
      <c r="P689" s="49">
        <f t="shared" si="156"/>
        <v>5733</v>
      </c>
      <c r="Q689" s="203">
        <f t="shared" si="151"/>
        <v>100</v>
      </c>
    </row>
    <row r="690" spans="2:17" x14ac:dyDescent="0.2">
      <c r="B690" s="72">
        <f t="shared" si="152"/>
        <v>682</v>
      </c>
      <c r="C690" s="4"/>
      <c r="D690" s="4"/>
      <c r="E690" s="4"/>
      <c r="F690" s="53" t="s">
        <v>80</v>
      </c>
      <c r="G690" s="4">
        <v>632</v>
      </c>
      <c r="H690" s="4" t="s">
        <v>138</v>
      </c>
      <c r="I690" s="23">
        <f>4534-1014</f>
        <v>3520</v>
      </c>
      <c r="J690" s="23">
        <v>3520</v>
      </c>
      <c r="K690" s="198">
        <f t="shared" si="154"/>
        <v>100</v>
      </c>
      <c r="L690" s="23"/>
      <c r="M690" s="23"/>
      <c r="N690" s="201"/>
      <c r="O690" s="23">
        <f t="shared" si="155"/>
        <v>3520</v>
      </c>
      <c r="P690" s="23">
        <f t="shared" si="156"/>
        <v>3520</v>
      </c>
      <c r="Q690" s="203">
        <f t="shared" si="151"/>
        <v>100</v>
      </c>
    </row>
    <row r="691" spans="2:17" x14ac:dyDescent="0.2">
      <c r="B691" s="72">
        <f t="shared" si="152"/>
        <v>683</v>
      </c>
      <c r="C691" s="4"/>
      <c r="D691" s="4"/>
      <c r="E691" s="4"/>
      <c r="F691" s="53" t="s">
        <v>80</v>
      </c>
      <c r="G691" s="4">
        <v>633</v>
      </c>
      <c r="H691" s="4" t="s">
        <v>131</v>
      </c>
      <c r="I691" s="23">
        <f>510-45</f>
        <v>465</v>
      </c>
      <c r="J691" s="23">
        <v>465</v>
      </c>
      <c r="K691" s="198">
        <f t="shared" si="154"/>
        <v>100</v>
      </c>
      <c r="L691" s="23"/>
      <c r="M691" s="23"/>
      <c r="N691" s="201"/>
      <c r="O691" s="23">
        <f t="shared" si="155"/>
        <v>465</v>
      </c>
      <c r="P691" s="23">
        <f t="shared" si="156"/>
        <v>465</v>
      </c>
      <c r="Q691" s="203">
        <f t="shared" si="151"/>
        <v>100</v>
      </c>
    </row>
    <row r="692" spans="2:17" x14ac:dyDescent="0.2">
      <c r="B692" s="72">
        <f t="shared" si="152"/>
        <v>684</v>
      </c>
      <c r="C692" s="4"/>
      <c r="D692" s="4"/>
      <c r="E692" s="4"/>
      <c r="F692" s="53" t="s">
        <v>80</v>
      </c>
      <c r="G692" s="4">
        <v>635</v>
      </c>
      <c r="H692" s="4" t="s">
        <v>137</v>
      </c>
      <c r="I692" s="23">
        <f>204+147</f>
        <v>351</v>
      </c>
      <c r="J692" s="23">
        <v>351</v>
      </c>
      <c r="K692" s="198">
        <f t="shared" si="154"/>
        <v>100</v>
      </c>
      <c r="L692" s="23"/>
      <c r="M692" s="23"/>
      <c r="N692" s="201"/>
      <c r="O692" s="23">
        <f t="shared" si="155"/>
        <v>351</v>
      </c>
      <c r="P692" s="23">
        <f t="shared" si="156"/>
        <v>351</v>
      </c>
      <c r="Q692" s="203">
        <f t="shared" si="151"/>
        <v>100</v>
      </c>
    </row>
    <row r="693" spans="2:17" x14ac:dyDescent="0.2">
      <c r="B693" s="72">
        <f t="shared" si="152"/>
        <v>685</v>
      </c>
      <c r="C693" s="4"/>
      <c r="D693" s="4"/>
      <c r="E693" s="4"/>
      <c r="F693" s="53" t="s">
        <v>80</v>
      </c>
      <c r="G693" s="4">
        <v>637</v>
      </c>
      <c r="H693" s="4" t="s">
        <v>128</v>
      </c>
      <c r="I693" s="23">
        <f>1132+265</f>
        <v>1397</v>
      </c>
      <c r="J693" s="23">
        <v>1397</v>
      </c>
      <c r="K693" s="198">
        <f t="shared" si="154"/>
        <v>100</v>
      </c>
      <c r="L693" s="23"/>
      <c r="M693" s="23"/>
      <c r="N693" s="201"/>
      <c r="O693" s="23">
        <f t="shared" si="155"/>
        <v>1397</v>
      </c>
      <c r="P693" s="23">
        <f t="shared" si="156"/>
        <v>1397</v>
      </c>
      <c r="Q693" s="203">
        <f t="shared" si="151"/>
        <v>100</v>
      </c>
    </row>
    <row r="694" spans="2:17" x14ac:dyDescent="0.2">
      <c r="B694" s="72">
        <f t="shared" si="152"/>
        <v>686</v>
      </c>
      <c r="C694" s="12"/>
      <c r="D694" s="12"/>
      <c r="E694" s="12"/>
      <c r="F694" s="52" t="s">
        <v>270</v>
      </c>
      <c r="G694" s="12">
        <v>610</v>
      </c>
      <c r="H694" s="12" t="s">
        <v>135</v>
      </c>
      <c r="I694" s="49">
        <f>20232+479+339</f>
        <v>21050</v>
      </c>
      <c r="J694" s="49">
        <v>21051</v>
      </c>
      <c r="K694" s="198">
        <f t="shared" ref="K694:K701" si="157">J694/I694*100</f>
        <v>100.00475059382423</v>
      </c>
      <c r="L694" s="49"/>
      <c r="M694" s="49"/>
      <c r="N694" s="201"/>
      <c r="O694" s="49">
        <f t="shared" si="155"/>
        <v>21050</v>
      </c>
      <c r="P694" s="49">
        <f t="shared" si="156"/>
        <v>21051</v>
      </c>
      <c r="Q694" s="203">
        <f t="shared" ref="Q694:Q725" si="158">P694/O694*100</f>
        <v>100.00475059382423</v>
      </c>
    </row>
    <row r="695" spans="2:17" x14ac:dyDescent="0.2">
      <c r="B695" s="72">
        <f t="shared" si="152"/>
        <v>687</v>
      </c>
      <c r="C695" s="12"/>
      <c r="D695" s="12"/>
      <c r="E695" s="12"/>
      <c r="F695" s="52" t="s">
        <v>270</v>
      </c>
      <c r="G695" s="12">
        <v>620</v>
      </c>
      <c r="H695" s="12" t="s">
        <v>130</v>
      </c>
      <c r="I695" s="49">
        <f>7616+133-339</f>
        <v>7410</v>
      </c>
      <c r="J695" s="49">
        <v>7410</v>
      </c>
      <c r="K695" s="198">
        <f t="shared" si="157"/>
        <v>100</v>
      </c>
      <c r="L695" s="49"/>
      <c r="M695" s="49"/>
      <c r="N695" s="201"/>
      <c r="O695" s="49">
        <f t="shared" si="155"/>
        <v>7410</v>
      </c>
      <c r="P695" s="49">
        <f t="shared" si="156"/>
        <v>7410</v>
      </c>
      <c r="Q695" s="203">
        <f t="shared" si="158"/>
        <v>100</v>
      </c>
    </row>
    <row r="696" spans="2:17" x14ac:dyDescent="0.2">
      <c r="B696" s="72">
        <f t="shared" si="152"/>
        <v>688</v>
      </c>
      <c r="C696" s="12"/>
      <c r="D696" s="12"/>
      <c r="E696" s="12"/>
      <c r="F696" s="52" t="s">
        <v>270</v>
      </c>
      <c r="G696" s="12">
        <v>630</v>
      </c>
      <c r="H696" s="12" t="s">
        <v>127</v>
      </c>
      <c r="I696" s="49">
        <f>I700+I699+I698+I697</f>
        <v>6628</v>
      </c>
      <c r="J696" s="49">
        <f>J700+J699+J698+J697</f>
        <v>6628</v>
      </c>
      <c r="K696" s="198">
        <f t="shared" si="157"/>
        <v>100</v>
      </c>
      <c r="L696" s="49">
        <f>L700+L699+L698+L697</f>
        <v>0</v>
      </c>
      <c r="M696" s="49">
        <f>M700+M699+M698+M697</f>
        <v>0</v>
      </c>
      <c r="N696" s="201"/>
      <c r="O696" s="49">
        <f t="shared" si="155"/>
        <v>6628</v>
      </c>
      <c r="P696" s="49">
        <f t="shared" si="156"/>
        <v>6628</v>
      </c>
      <c r="Q696" s="203">
        <f t="shared" si="158"/>
        <v>100</v>
      </c>
    </row>
    <row r="697" spans="2:17" x14ac:dyDescent="0.2">
      <c r="B697" s="72">
        <f t="shared" si="152"/>
        <v>689</v>
      </c>
      <c r="C697" s="4"/>
      <c r="D697" s="4"/>
      <c r="E697" s="4"/>
      <c r="F697" s="53" t="s">
        <v>270</v>
      </c>
      <c r="G697" s="4">
        <v>632</v>
      </c>
      <c r="H697" s="4" t="s">
        <v>138</v>
      </c>
      <c r="I697" s="23">
        <f>4534-1014</f>
        <v>3520</v>
      </c>
      <c r="J697" s="23">
        <v>3520</v>
      </c>
      <c r="K697" s="198">
        <f t="shared" si="157"/>
        <v>100</v>
      </c>
      <c r="L697" s="23"/>
      <c r="M697" s="23"/>
      <c r="N697" s="201"/>
      <c r="O697" s="23">
        <f t="shared" si="155"/>
        <v>3520</v>
      </c>
      <c r="P697" s="23">
        <f t="shared" si="156"/>
        <v>3520</v>
      </c>
      <c r="Q697" s="203">
        <f t="shared" si="158"/>
        <v>100</v>
      </c>
    </row>
    <row r="698" spans="2:17" x14ac:dyDescent="0.2">
      <c r="B698" s="72">
        <f t="shared" si="152"/>
        <v>690</v>
      </c>
      <c r="C698" s="4"/>
      <c r="D698" s="4"/>
      <c r="E698" s="4"/>
      <c r="F698" s="53" t="s">
        <v>270</v>
      </c>
      <c r="G698" s="4">
        <v>633</v>
      </c>
      <c r="H698" s="4" t="s">
        <v>131</v>
      </c>
      <c r="I698" s="23">
        <f>510+650-45</f>
        <v>1115</v>
      </c>
      <c r="J698" s="23">
        <v>1115</v>
      </c>
      <c r="K698" s="198">
        <f t="shared" si="157"/>
        <v>100</v>
      </c>
      <c r="L698" s="23"/>
      <c r="M698" s="23"/>
      <c r="N698" s="201"/>
      <c r="O698" s="23">
        <f t="shared" si="155"/>
        <v>1115</v>
      </c>
      <c r="P698" s="23">
        <f t="shared" si="156"/>
        <v>1115</v>
      </c>
      <c r="Q698" s="203">
        <f t="shared" si="158"/>
        <v>100</v>
      </c>
    </row>
    <row r="699" spans="2:17" x14ac:dyDescent="0.2">
      <c r="B699" s="72">
        <f t="shared" si="152"/>
        <v>691</v>
      </c>
      <c r="C699" s="4"/>
      <c r="D699" s="4"/>
      <c r="E699" s="4"/>
      <c r="F699" s="53" t="s">
        <v>270</v>
      </c>
      <c r="G699" s="4">
        <v>635</v>
      </c>
      <c r="H699" s="4" t="s">
        <v>137</v>
      </c>
      <c r="I699" s="23">
        <f>204+245+147</f>
        <v>596</v>
      </c>
      <c r="J699" s="23">
        <v>596</v>
      </c>
      <c r="K699" s="198">
        <f t="shared" si="157"/>
        <v>100</v>
      </c>
      <c r="L699" s="23"/>
      <c r="M699" s="23"/>
      <c r="N699" s="201"/>
      <c r="O699" s="23">
        <f t="shared" si="155"/>
        <v>596</v>
      </c>
      <c r="P699" s="23">
        <f t="shared" si="156"/>
        <v>596</v>
      </c>
      <c r="Q699" s="203">
        <f t="shared" si="158"/>
        <v>100</v>
      </c>
    </row>
    <row r="700" spans="2:17" x14ac:dyDescent="0.2">
      <c r="B700" s="72">
        <f t="shared" si="152"/>
        <v>692</v>
      </c>
      <c r="C700" s="4"/>
      <c r="D700" s="4"/>
      <c r="E700" s="4"/>
      <c r="F700" s="53" t="s">
        <v>270</v>
      </c>
      <c r="G700" s="4">
        <v>637</v>
      </c>
      <c r="H700" s="4" t="s">
        <v>128</v>
      </c>
      <c r="I700" s="23">
        <f>1132+265</f>
        <v>1397</v>
      </c>
      <c r="J700" s="23">
        <v>1397</v>
      </c>
      <c r="K700" s="198">
        <f t="shared" si="157"/>
        <v>100</v>
      </c>
      <c r="L700" s="23"/>
      <c r="M700" s="23"/>
      <c r="N700" s="201"/>
      <c r="O700" s="23">
        <f t="shared" si="155"/>
        <v>1397</v>
      </c>
      <c r="P700" s="23">
        <f t="shared" si="156"/>
        <v>1397</v>
      </c>
      <c r="Q700" s="203">
        <f t="shared" si="158"/>
        <v>100</v>
      </c>
    </row>
    <row r="701" spans="2:17" x14ac:dyDescent="0.2">
      <c r="B701" s="72">
        <f t="shared" si="152"/>
        <v>693</v>
      </c>
      <c r="C701" s="12"/>
      <c r="D701" s="12"/>
      <c r="E701" s="12"/>
      <c r="F701" s="52" t="s">
        <v>270</v>
      </c>
      <c r="G701" s="12">
        <v>640</v>
      </c>
      <c r="H701" s="12" t="s">
        <v>134</v>
      </c>
      <c r="I701" s="49">
        <f>107+819+35</f>
        <v>961</v>
      </c>
      <c r="J701" s="49">
        <v>960</v>
      </c>
      <c r="K701" s="198">
        <f t="shared" si="157"/>
        <v>99.895941727367315</v>
      </c>
      <c r="L701" s="49"/>
      <c r="M701" s="49"/>
      <c r="N701" s="201"/>
      <c r="O701" s="49">
        <f t="shared" si="155"/>
        <v>961</v>
      </c>
      <c r="P701" s="49">
        <f t="shared" si="156"/>
        <v>960</v>
      </c>
      <c r="Q701" s="203">
        <f t="shared" si="158"/>
        <v>99.895941727367315</v>
      </c>
    </row>
    <row r="702" spans="2:17" x14ac:dyDescent="0.2">
      <c r="B702" s="72">
        <f t="shared" si="152"/>
        <v>694</v>
      </c>
      <c r="C702" s="12"/>
      <c r="D702" s="12"/>
      <c r="E702" s="12"/>
      <c r="F702" s="52" t="s">
        <v>270</v>
      </c>
      <c r="G702" s="12">
        <v>710</v>
      </c>
      <c r="H702" s="12" t="s">
        <v>183</v>
      </c>
      <c r="I702" s="49">
        <v>0</v>
      </c>
      <c r="J702" s="49"/>
      <c r="K702" s="198"/>
      <c r="L702" s="49">
        <f>L703</f>
        <v>5600</v>
      </c>
      <c r="M702" s="49">
        <f>M703</f>
        <v>4924</v>
      </c>
      <c r="N702" s="201">
        <f t="shared" si="153"/>
        <v>87.928571428571431</v>
      </c>
      <c r="O702" s="49">
        <f t="shared" si="155"/>
        <v>5600</v>
      </c>
      <c r="P702" s="49">
        <f t="shared" si="156"/>
        <v>4924</v>
      </c>
      <c r="Q702" s="203">
        <f t="shared" si="158"/>
        <v>87.928571428571431</v>
      </c>
    </row>
    <row r="703" spans="2:17" x14ac:dyDescent="0.2">
      <c r="B703" s="72">
        <f t="shared" si="152"/>
        <v>695</v>
      </c>
      <c r="C703" s="12"/>
      <c r="D703" s="12"/>
      <c r="E703" s="12"/>
      <c r="F703" s="82" t="s">
        <v>270</v>
      </c>
      <c r="G703" s="83">
        <v>713</v>
      </c>
      <c r="H703" s="83" t="s">
        <v>747</v>
      </c>
      <c r="I703" s="84"/>
      <c r="J703" s="84"/>
      <c r="K703" s="198"/>
      <c r="L703" s="84">
        <v>5600</v>
      </c>
      <c r="M703" s="84">
        <v>4924</v>
      </c>
      <c r="N703" s="201">
        <f t="shared" si="153"/>
        <v>87.928571428571431</v>
      </c>
      <c r="O703" s="84">
        <f>I703+L703</f>
        <v>5600</v>
      </c>
      <c r="P703" s="84">
        <f>J703+M703</f>
        <v>4924</v>
      </c>
      <c r="Q703" s="203">
        <f t="shared" si="158"/>
        <v>87.928571428571431</v>
      </c>
    </row>
    <row r="704" spans="2:17" ht="15" x14ac:dyDescent="0.25">
      <c r="B704" s="72">
        <f t="shared" si="152"/>
        <v>696</v>
      </c>
      <c r="C704" s="15"/>
      <c r="D704" s="15"/>
      <c r="E704" s="15">
        <v>7</v>
      </c>
      <c r="F704" s="50"/>
      <c r="G704" s="15"/>
      <c r="H704" s="15" t="s">
        <v>315</v>
      </c>
      <c r="I704" s="47">
        <f>I705+I706+I707+I712+I713+I714+I715+I720</f>
        <v>96483</v>
      </c>
      <c r="J704" s="47">
        <f>J705+J706+J707+J712+J713+J714+J715+J720</f>
        <v>96483</v>
      </c>
      <c r="K704" s="198">
        <f t="shared" ref="K704:K735" si="159">J704/I704*100</f>
        <v>100</v>
      </c>
      <c r="L704" s="47">
        <f>L705+L706+L707+L712+L713+L714+L715+L720</f>
        <v>0</v>
      </c>
      <c r="M704" s="47">
        <f>M705+M706+M707+M712+M713+M714+M715+M720</f>
        <v>0</v>
      </c>
      <c r="N704" s="201"/>
      <c r="O704" s="47">
        <f t="shared" ref="O704:O735" si="160">L704+I704</f>
        <v>96483</v>
      </c>
      <c r="P704" s="47">
        <f t="shared" ref="P704:P735" si="161">M704+J704</f>
        <v>96483</v>
      </c>
      <c r="Q704" s="203">
        <f t="shared" si="158"/>
        <v>100</v>
      </c>
    </row>
    <row r="705" spans="2:17" x14ac:dyDescent="0.2">
      <c r="B705" s="72">
        <f t="shared" si="152"/>
        <v>697</v>
      </c>
      <c r="C705" s="12"/>
      <c r="D705" s="12"/>
      <c r="E705" s="12"/>
      <c r="F705" s="52" t="s">
        <v>80</v>
      </c>
      <c r="G705" s="12">
        <v>610</v>
      </c>
      <c r="H705" s="12" t="s">
        <v>135</v>
      </c>
      <c r="I705" s="49">
        <f>21509+3470</f>
        <v>24979</v>
      </c>
      <c r="J705" s="49">
        <v>24979</v>
      </c>
      <c r="K705" s="198">
        <f t="shared" si="159"/>
        <v>100</v>
      </c>
      <c r="L705" s="49"/>
      <c r="M705" s="49"/>
      <c r="N705" s="201"/>
      <c r="O705" s="49">
        <f t="shared" si="160"/>
        <v>24979</v>
      </c>
      <c r="P705" s="49">
        <f t="shared" si="161"/>
        <v>24979</v>
      </c>
      <c r="Q705" s="203">
        <f t="shared" si="158"/>
        <v>100</v>
      </c>
    </row>
    <row r="706" spans="2:17" x14ac:dyDescent="0.2">
      <c r="B706" s="72">
        <f t="shared" si="152"/>
        <v>698</v>
      </c>
      <c r="C706" s="12"/>
      <c r="D706" s="12"/>
      <c r="E706" s="12"/>
      <c r="F706" s="52" t="s">
        <v>80</v>
      </c>
      <c r="G706" s="12">
        <v>620</v>
      </c>
      <c r="H706" s="12" t="s">
        <v>130</v>
      </c>
      <c r="I706" s="49">
        <f>7983+1221</f>
        <v>9204</v>
      </c>
      <c r="J706" s="49">
        <v>9204</v>
      </c>
      <c r="K706" s="198">
        <f t="shared" si="159"/>
        <v>100</v>
      </c>
      <c r="L706" s="49"/>
      <c r="M706" s="49"/>
      <c r="N706" s="201"/>
      <c r="O706" s="49">
        <f t="shared" si="160"/>
        <v>9204</v>
      </c>
      <c r="P706" s="49">
        <f t="shared" si="161"/>
        <v>9204</v>
      </c>
      <c r="Q706" s="203">
        <f t="shared" si="158"/>
        <v>100</v>
      </c>
    </row>
    <row r="707" spans="2:17" x14ac:dyDescent="0.2">
      <c r="B707" s="72">
        <f t="shared" si="152"/>
        <v>699</v>
      </c>
      <c r="C707" s="12"/>
      <c r="D707" s="12"/>
      <c r="E707" s="12"/>
      <c r="F707" s="52" t="s">
        <v>80</v>
      </c>
      <c r="G707" s="12">
        <v>630</v>
      </c>
      <c r="H707" s="12" t="s">
        <v>127</v>
      </c>
      <c r="I707" s="49">
        <f>I711+I710+I709+I708</f>
        <v>4756</v>
      </c>
      <c r="J707" s="49">
        <f>J711+J710+J709+J708</f>
        <v>4756</v>
      </c>
      <c r="K707" s="198">
        <f t="shared" si="159"/>
        <v>100</v>
      </c>
      <c r="L707" s="49">
        <f>L711+L710+L709+L708</f>
        <v>0</v>
      </c>
      <c r="M707" s="49">
        <f>M711+M710+M709+M708</f>
        <v>0</v>
      </c>
      <c r="N707" s="201"/>
      <c r="O707" s="49">
        <f t="shared" si="160"/>
        <v>4756</v>
      </c>
      <c r="P707" s="49">
        <f t="shared" si="161"/>
        <v>4756</v>
      </c>
      <c r="Q707" s="203">
        <f t="shared" si="158"/>
        <v>100</v>
      </c>
    </row>
    <row r="708" spans="2:17" x14ac:dyDescent="0.2">
      <c r="B708" s="72">
        <f t="shared" si="152"/>
        <v>700</v>
      </c>
      <c r="C708" s="4"/>
      <c r="D708" s="4"/>
      <c r="E708" s="4"/>
      <c r="F708" s="53" t="s">
        <v>80</v>
      </c>
      <c r="G708" s="4">
        <v>632</v>
      </c>
      <c r="H708" s="4" t="s">
        <v>138</v>
      </c>
      <c r="I708" s="23">
        <v>1290</v>
      </c>
      <c r="J708" s="23">
        <v>1290</v>
      </c>
      <c r="K708" s="198">
        <f t="shared" si="159"/>
        <v>100</v>
      </c>
      <c r="L708" s="23"/>
      <c r="M708" s="23"/>
      <c r="N708" s="201"/>
      <c r="O708" s="23">
        <f t="shared" si="160"/>
        <v>1290</v>
      </c>
      <c r="P708" s="23">
        <f t="shared" si="161"/>
        <v>1290</v>
      </c>
      <c r="Q708" s="203">
        <f t="shared" si="158"/>
        <v>100</v>
      </c>
    </row>
    <row r="709" spans="2:17" x14ac:dyDescent="0.2">
      <c r="B709" s="72">
        <f t="shared" si="152"/>
        <v>701</v>
      </c>
      <c r="C709" s="4"/>
      <c r="D709" s="4"/>
      <c r="E709" s="4"/>
      <c r="F709" s="53" t="s">
        <v>80</v>
      </c>
      <c r="G709" s="4">
        <v>633</v>
      </c>
      <c r="H709" s="4" t="s">
        <v>131</v>
      </c>
      <c r="I709" s="23">
        <v>1316</v>
      </c>
      <c r="J709" s="23">
        <v>1316</v>
      </c>
      <c r="K709" s="198">
        <f t="shared" si="159"/>
        <v>100</v>
      </c>
      <c r="L709" s="23"/>
      <c r="M709" s="23"/>
      <c r="N709" s="201"/>
      <c r="O709" s="23">
        <f t="shared" si="160"/>
        <v>1316</v>
      </c>
      <c r="P709" s="23">
        <f t="shared" si="161"/>
        <v>1316</v>
      </c>
      <c r="Q709" s="203">
        <f t="shared" si="158"/>
        <v>100</v>
      </c>
    </row>
    <row r="710" spans="2:17" x14ac:dyDescent="0.2">
      <c r="B710" s="72">
        <f t="shared" si="152"/>
        <v>702</v>
      </c>
      <c r="C710" s="4"/>
      <c r="D710" s="4"/>
      <c r="E710" s="4"/>
      <c r="F710" s="53" t="s">
        <v>80</v>
      </c>
      <c r="G710" s="4">
        <v>635</v>
      </c>
      <c r="H710" s="4" t="s">
        <v>137</v>
      </c>
      <c r="I710" s="23">
        <v>645</v>
      </c>
      <c r="J710" s="23">
        <v>645</v>
      </c>
      <c r="K710" s="198">
        <f t="shared" si="159"/>
        <v>100</v>
      </c>
      <c r="L710" s="23"/>
      <c r="M710" s="23"/>
      <c r="N710" s="201"/>
      <c r="O710" s="23">
        <f t="shared" si="160"/>
        <v>645</v>
      </c>
      <c r="P710" s="23">
        <f t="shared" si="161"/>
        <v>645</v>
      </c>
      <c r="Q710" s="203">
        <f t="shared" si="158"/>
        <v>100</v>
      </c>
    </row>
    <row r="711" spans="2:17" x14ac:dyDescent="0.2">
      <c r="B711" s="72">
        <f t="shared" si="152"/>
        <v>703</v>
      </c>
      <c r="C711" s="4"/>
      <c r="D711" s="4"/>
      <c r="E711" s="4"/>
      <c r="F711" s="53" t="s">
        <v>80</v>
      </c>
      <c r="G711" s="4">
        <v>637</v>
      </c>
      <c r="H711" s="4" t="s">
        <v>128</v>
      </c>
      <c r="I711" s="23">
        <v>1505</v>
      </c>
      <c r="J711" s="23">
        <v>1505</v>
      </c>
      <c r="K711" s="198">
        <f t="shared" si="159"/>
        <v>100</v>
      </c>
      <c r="L711" s="23"/>
      <c r="M711" s="23"/>
      <c r="N711" s="201"/>
      <c r="O711" s="23">
        <f t="shared" si="160"/>
        <v>1505</v>
      </c>
      <c r="P711" s="23">
        <f t="shared" si="161"/>
        <v>1505</v>
      </c>
      <c r="Q711" s="203">
        <f t="shared" si="158"/>
        <v>100</v>
      </c>
    </row>
    <row r="712" spans="2:17" x14ac:dyDescent="0.2">
      <c r="B712" s="72">
        <f t="shared" si="152"/>
        <v>704</v>
      </c>
      <c r="C712" s="12"/>
      <c r="D712" s="12"/>
      <c r="E712" s="12"/>
      <c r="F712" s="52" t="s">
        <v>80</v>
      </c>
      <c r="G712" s="12">
        <v>640</v>
      </c>
      <c r="H712" s="12" t="s">
        <v>134</v>
      </c>
      <c r="I712" s="49">
        <f>758-500</f>
        <v>258</v>
      </c>
      <c r="J712" s="49">
        <v>258</v>
      </c>
      <c r="K712" s="198">
        <f t="shared" si="159"/>
        <v>100</v>
      </c>
      <c r="L712" s="49"/>
      <c r="M712" s="49"/>
      <c r="N712" s="201"/>
      <c r="O712" s="49">
        <f t="shared" si="160"/>
        <v>258</v>
      </c>
      <c r="P712" s="49">
        <f t="shared" si="161"/>
        <v>258</v>
      </c>
      <c r="Q712" s="203">
        <f t="shared" si="158"/>
        <v>100</v>
      </c>
    </row>
    <row r="713" spans="2:17" x14ac:dyDescent="0.2">
      <c r="B713" s="72">
        <f t="shared" si="152"/>
        <v>705</v>
      </c>
      <c r="C713" s="12"/>
      <c r="D713" s="12"/>
      <c r="E713" s="12"/>
      <c r="F713" s="52" t="s">
        <v>270</v>
      </c>
      <c r="G713" s="12">
        <v>610</v>
      </c>
      <c r="H713" s="12" t="s">
        <v>135</v>
      </c>
      <c r="I713" s="49">
        <f>28512+5015</f>
        <v>33527</v>
      </c>
      <c r="J713" s="49">
        <v>33527</v>
      </c>
      <c r="K713" s="198">
        <f t="shared" si="159"/>
        <v>100</v>
      </c>
      <c r="L713" s="49"/>
      <c r="M713" s="49"/>
      <c r="N713" s="201"/>
      <c r="O713" s="49">
        <f t="shared" si="160"/>
        <v>33527</v>
      </c>
      <c r="P713" s="49">
        <f t="shared" si="161"/>
        <v>33527</v>
      </c>
      <c r="Q713" s="203">
        <f t="shared" si="158"/>
        <v>100</v>
      </c>
    </row>
    <row r="714" spans="2:17" x14ac:dyDescent="0.2">
      <c r="B714" s="72">
        <f t="shared" si="152"/>
        <v>706</v>
      </c>
      <c r="C714" s="12"/>
      <c r="D714" s="12"/>
      <c r="E714" s="12"/>
      <c r="F714" s="52" t="s">
        <v>270</v>
      </c>
      <c r="G714" s="12">
        <v>620</v>
      </c>
      <c r="H714" s="12" t="s">
        <v>130</v>
      </c>
      <c r="I714" s="49">
        <f>10581+1765</f>
        <v>12346</v>
      </c>
      <c r="J714" s="49">
        <v>12346</v>
      </c>
      <c r="K714" s="198">
        <f t="shared" si="159"/>
        <v>100</v>
      </c>
      <c r="L714" s="49"/>
      <c r="M714" s="49"/>
      <c r="N714" s="201"/>
      <c r="O714" s="49">
        <f t="shared" si="160"/>
        <v>12346</v>
      </c>
      <c r="P714" s="49">
        <f t="shared" si="161"/>
        <v>12346</v>
      </c>
      <c r="Q714" s="203">
        <f t="shared" si="158"/>
        <v>100</v>
      </c>
    </row>
    <row r="715" spans="2:17" x14ac:dyDescent="0.2">
      <c r="B715" s="72">
        <f t="shared" si="152"/>
        <v>707</v>
      </c>
      <c r="C715" s="12"/>
      <c r="D715" s="12"/>
      <c r="E715" s="12"/>
      <c r="F715" s="52" t="s">
        <v>270</v>
      </c>
      <c r="G715" s="12">
        <v>630</v>
      </c>
      <c r="H715" s="12" t="s">
        <v>127</v>
      </c>
      <c r="I715" s="49">
        <f>I719+I718+I717+I716</f>
        <v>10931</v>
      </c>
      <c r="J715" s="49">
        <f>J719+J718+J717+J716</f>
        <v>10931</v>
      </c>
      <c r="K715" s="198">
        <f t="shared" si="159"/>
        <v>100</v>
      </c>
      <c r="L715" s="49">
        <f>L719+L718+L717+L716</f>
        <v>0</v>
      </c>
      <c r="M715" s="49">
        <f>M719+M718+M717+M716</f>
        <v>0</v>
      </c>
      <c r="N715" s="201"/>
      <c r="O715" s="49">
        <f t="shared" si="160"/>
        <v>10931</v>
      </c>
      <c r="P715" s="49">
        <f t="shared" si="161"/>
        <v>10931</v>
      </c>
      <c r="Q715" s="203">
        <f t="shared" si="158"/>
        <v>100</v>
      </c>
    </row>
    <row r="716" spans="2:17" x14ac:dyDescent="0.2">
      <c r="B716" s="72">
        <f t="shared" si="152"/>
        <v>708</v>
      </c>
      <c r="C716" s="4"/>
      <c r="D716" s="4"/>
      <c r="E716" s="4"/>
      <c r="F716" s="53" t="s">
        <v>270</v>
      </c>
      <c r="G716" s="4">
        <v>632</v>
      </c>
      <c r="H716" s="4" t="s">
        <v>138</v>
      </c>
      <c r="I716" s="23">
        <f>1710+1900</f>
        <v>3610</v>
      </c>
      <c r="J716" s="23">
        <v>3610</v>
      </c>
      <c r="K716" s="198">
        <f t="shared" si="159"/>
        <v>100</v>
      </c>
      <c r="L716" s="23"/>
      <c r="M716" s="23"/>
      <c r="N716" s="201"/>
      <c r="O716" s="23">
        <f t="shared" si="160"/>
        <v>3610</v>
      </c>
      <c r="P716" s="23">
        <f t="shared" si="161"/>
        <v>3610</v>
      </c>
      <c r="Q716" s="203">
        <f t="shared" si="158"/>
        <v>100</v>
      </c>
    </row>
    <row r="717" spans="2:17" x14ac:dyDescent="0.2">
      <c r="B717" s="72">
        <f t="shared" si="152"/>
        <v>709</v>
      </c>
      <c r="C717" s="4"/>
      <c r="D717" s="4"/>
      <c r="E717" s="4"/>
      <c r="F717" s="53" t="s">
        <v>270</v>
      </c>
      <c r="G717" s="4">
        <v>633</v>
      </c>
      <c r="H717" s="4" t="s">
        <v>131</v>
      </c>
      <c r="I717" s="23">
        <f>1744+745+82</f>
        <v>2571</v>
      </c>
      <c r="J717" s="23">
        <v>2571</v>
      </c>
      <c r="K717" s="198">
        <f t="shared" si="159"/>
        <v>100</v>
      </c>
      <c r="L717" s="23"/>
      <c r="M717" s="23"/>
      <c r="N717" s="201"/>
      <c r="O717" s="23">
        <f t="shared" si="160"/>
        <v>2571</v>
      </c>
      <c r="P717" s="23">
        <f t="shared" si="161"/>
        <v>2571</v>
      </c>
      <c r="Q717" s="203">
        <f t="shared" si="158"/>
        <v>100</v>
      </c>
    </row>
    <row r="718" spans="2:17" x14ac:dyDescent="0.2">
      <c r="B718" s="72">
        <f t="shared" si="152"/>
        <v>710</v>
      </c>
      <c r="C718" s="4"/>
      <c r="D718" s="4"/>
      <c r="E718" s="4"/>
      <c r="F718" s="53" t="s">
        <v>270</v>
      </c>
      <c r="G718" s="4">
        <v>635</v>
      </c>
      <c r="H718" s="4" t="s">
        <v>137</v>
      </c>
      <c r="I718" s="23">
        <f>855+1900</f>
        <v>2755</v>
      </c>
      <c r="J718" s="23">
        <v>2755</v>
      </c>
      <c r="K718" s="198">
        <f t="shared" si="159"/>
        <v>100</v>
      </c>
      <c r="L718" s="23"/>
      <c r="M718" s="23"/>
      <c r="N718" s="201"/>
      <c r="O718" s="23">
        <f t="shared" si="160"/>
        <v>2755</v>
      </c>
      <c r="P718" s="23">
        <f t="shared" si="161"/>
        <v>2755</v>
      </c>
      <c r="Q718" s="203">
        <f t="shared" si="158"/>
        <v>100</v>
      </c>
    </row>
    <row r="719" spans="2:17" x14ac:dyDescent="0.2">
      <c r="B719" s="72">
        <f t="shared" si="152"/>
        <v>711</v>
      </c>
      <c r="C719" s="4"/>
      <c r="D719" s="4"/>
      <c r="E719" s="4"/>
      <c r="F719" s="53" t="s">
        <v>270</v>
      </c>
      <c r="G719" s="4">
        <v>637</v>
      </c>
      <c r="H719" s="4" t="s">
        <v>128</v>
      </c>
      <c r="I719" s="23">
        <v>1995</v>
      </c>
      <c r="J719" s="23">
        <v>1995</v>
      </c>
      <c r="K719" s="198">
        <f t="shared" si="159"/>
        <v>100</v>
      </c>
      <c r="L719" s="23"/>
      <c r="M719" s="23"/>
      <c r="N719" s="201"/>
      <c r="O719" s="23">
        <f t="shared" si="160"/>
        <v>1995</v>
      </c>
      <c r="P719" s="23">
        <f t="shared" si="161"/>
        <v>1995</v>
      </c>
      <c r="Q719" s="203">
        <f t="shared" si="158"/>
        <v>100</v>
      </c>
    </row>
    <row r="720" spans="2:17" x14ac:dyDescent="0.2">
      <c r="B720" s="72">
        <f t="shared" si="152"/>
        <v>712</v>
      </c>
      <c r="C720" s="12"/>
      <c r="D720" s="12"/>
      <c r="E720" s="12"/>
      <c r="F720" s="52" t="s">
        <v>270</v>
      </c>
      <c r="G720" s="12">
        <v>640</v>
      </c>
      <c r="H720" s="12" t="s">
        <v>134</v>
      </c>
      <c r="I720" s="49">
        <f>982-500</f>
        <v>482</v>
      </c>
      <c r="J720" s="49">
        <v>482</v>
      </c>
      <c r="K720" s="198">
        <f t="shared" si="159"/>
        <v>100</v>
      </c>
      <c r="L720" s="49"/>
      <c r="M720" s="49"/>
      <c r="N720" s="201"/>
      <c r="O720" s="49">
        <f t="shared" si="160"/>
        <v>482</v>
      </c>
      <c r="P720" s="49">
        <f t="shared" si="161"/>
        <v>482</v>
      </c>
      <c r="Q720" s="203">
        <f t="shared" si="158"/>
        <v>100</v>
      </c>
    </row>
    <row r="721" spans="2:17" ht="15" x14ac:dyDescent="0.25">
      <c r="B721" s="72">
        <f t="shared" si="152"/>
        <v>713</v>
      </c>
      <c r="C721" s="15"/>
      <c r="D721" s="15"/>
      <c r="E721" s="15">
        <v>8</v>
      </c>
      <c r="F721" s="50"/>
      <c r="G721" s="15"/>
      <c r="H721" s="15" t="s">
        <v>313</v>
      </c>
      <c r="I721" s="47">
        <f>I722+I724</f>
        <v>114240</v>
      </c>
      <c r="J721" s="47">
        <f>J722+J724</f>
        <v>114240</v>
      </c>
      <c r="K721" s="198">
        <f t="shared" si="159"/>
        <v>100</v>
      </c>
      <c r="L721" s="47">
        <f>L722+L724</f>
        <v>0</v>
      </c>
      <c r="M721" s="47">
        <f>M722+M724</f>
        <v>0</v>
      </c>
      <c r="N721" s="201"/>
      <c r="O721" s="47">
        <f t="shared" si="160"/>
        <v>114240</v>
      </c>
      <c r="P721" s="47">
        <f t="shared" si="161"/>
        <v>114240</v>
      </c>
      <c r="Q721" s="203">
        <f t="shared" si="158"/>
        <v>100</v>
      </c>
    </row>
    <row r="722" spans="2:17" x14ac:dyDescent="0.2">
      <c r="B722" s="72">
        <f t="shared" si="152"/>
        <v>714</v>
      </c>
      <c r="C722" s="12"/>
      <c r="D722" s="12"/>
      <c r="E722" s="12"/>
      <c r="F722" s="52" t="s">
        <v>80</v>
      </c>
      <c r="G722" s="12">
        <v>630</v>
      </c>
      <c r="H722" s="12" t="s">
        <v>127</v>
      </c>
      <c r="I722" s="49">
        <f>I723</f>
        <v>45696</v>
      </c>
      <c r="J722" s="49">
        <f>J723</f>
        <v>45696</v>
      </c>
      <c r="K722" s="198">
        <f t="shared" si="159"/>
        <v>100</v>
      </c>
      <c r="L722" s="49">
        <f>L723</f>
        <v>0</v>
      </c>
      <c r="M722" s="49">
        <f>M723</f>
        <v>0</v>
      </c>
      <c r="N722" s="201"/>
      <c r="O722" s="49">
        <f t="shared" si="160"/>
        <v>45696</v>
      </c>
      <c r="P722" s="49">
        <f t="shared" si="161"/>
        <v>45696</v>
      </c>
      <c r="Q722" s="203">
        <f t="shared" si="158"/>
        <v>100</v>
      </c>
    </row>
    <row r="723" spans="2:17" x14ac:dyDescent="0.2">
      <c r="B723" s="72">
        <f t="shared" si="152"/>
        <v>715</v>
      </c>
      <c r="C723" s="4"/>
      <c r="D723" s="4"/>
      <c r="E723" s="4"/>
      <c r="F723" s="53" t="s">
        <v>80</v>
      </c>
      <c r="G723" s="4">
        <v>637</v>
      </c>
      <c r="H723" s="4" t="s">
        <v>128</v>
      </c>
      <c r="I723" s="23">
        <v>45696</v>
      </c>
      <c r="J723" s="23">
        <v>45696</v>
      </c>
      <c r="K723" s="198">
        <f t="shared" si="159"/>
        <v>100</v>
      </c>
      <c r="L723" s="23"/>
      <c r="M723" s="23"/>
      <c r="N723" s="201"/>
      <c r="O723" s="23">
        <f t="shared" si="160"/>
        <v>45696</v>
      </c>
      <c r="P723" s="23">
        <f t="shared" si="161"/>
        <v>45696</v>
      </c>
      <c r="Q723" s="203">
        <f t="shared" si="158"/>
        <v>100</v>
      </c>
    </row>
    <row r="724" spans="2:17" x14ac:dyDescent="0.2">
      <c r="B724" s="72">
        <f t="shared" si="152"/>
        <v>716</v>
      </c>
      <c r="C724" s="12"/>
      <c r="D724" s="12"/>
      <c r="E724" s="12"/>
      <c r="F724" s="52" t="s">
        <v>270</v>
      </c>
      <c r="G724" s="12">
        <v>630</v>
      </c>
      <c r="H724" s="12" t="s">
        <v>127</v>
      </c>
      <c r="I724" s="49">
        <f>I725</f>
        <v>68544</v>
      </c>
      <c r="J724" s="49">
        <f>J725</f>
        <v>68544</v>
      </c>
      <c r="K724" s="198">
        <f t="shared" si="159"/>
        <v>100</v>
      </c>
      <c r="L724" s="49">
        <f>L725</f>
        <v>0</v>
      </c>
      <c r="M724" s="49">
        <f>M725</f>
        <v>0</v>
      </c>
      <c r="N724" s="201"/>
      <c r="O724" s="49">
        <f t="shared" si="160"/>
        <v>68544</v>
      </c>
      <c r="P724" s="49">
        <f t="shared" si="161"/>
        <v>68544</v>
      </c>
      <c r="Q724" s="203">
        <f t="shared" si="158"/>
        <v>100</v>
      </c>
    </row>
    <row r="725" spans="2:17" x14ac:dyDescent="0.2">
      <c r="B725" s="72">
        <f t="shared" si="152"/>
        <v>717</v>
      </c>
      <c r="C725" s="4"/>
      <c r="D725" s="4"/>
      <c r="E725" s="4"/>
      <c r="F725" s="53" t="s">
        <v>270</v>
      </c>
      <c r="G725" s="4">
        <v>637</v>
      </c>
      <c r="H725" s="4" t="s">
        <v>128</v>
      </c>
      <c r="I725" s="23">
        <v>68544</v>
      </c>
      <c r="J725" s="23">
        <v>68544</v>
      </c>
      <c r="K725" s="198">
        <f t="shared" si="159"/>
        <v>100</v>
      </c>
      <c r="L725" s="23"/>
      <c r="M725" s="23"/>
      <c r="N725" s="201"/>
      <c r="O725" s="23">
        <f t="shared" si="160"/>
        <v>68544</v>
      </c>
      <c r="P725" s="23">
        <f t="shared" si="161"/>
        <v>68544</v>
      </c>
      <c r="Q725" s="203">
        <f t="shared" si="158"/>
        <v>100</v>
      </c>
    </row>
    <row r="726" spans="2:17" ht="15" x14ac:dyDescent="0.25">
      <c r="B726" s="72">
        <f t="shared" si="152"/>
        <v>718</v>
      </c>
      <c r="C726" s="15"/>
      <c r="D726" s="15"/>
      <c r="E726" s="15">
        <v>9</v>
      </c>
      <c r="F726" s="50"/>
      <c r="G726" s="15"/>
      <c r="H726" s="15" t="s">
        <v>273</v>
      </c>
      <c r="I726" s="47">
        <f>I727+I728+I729+I735+I736+I737+I734+I742</f>
        <v>80619</v>
      </c>
      <c r="J726" s="47">
        <f>J727+J728+J729+J735+J736+J737+J734+J742</f>
        <v>80619</v>
      </c>
      <c r="K726" s="198">
        <f t="shared" si="159"/>
        <v>100</v>
      </c>
      <c r="L726" s="47">
        <f>L727+L728+L729+L735+L736+L737</f>
        <v>0</v>
      </c>
      <c r="M726" s="47">
        <f>M727+M728+M729+M735+M736+M737</f>
        <v>0</v>
      </c>
      <c r="N726" s="201"/>
      <c r="O726" s="47">
        <f t="shared" si="160"/>
        <v>80619</v>
      </c>
      <c r="P726" s="47">
        <f t="shared" si="161"/>
        <v>80619</v>
      </c>
      <c r="Q726" s="203">
        <f t="shared" ref="Q726:Q757" si="162">P726/O726*100</f>
        <v>100</v>
      </c>
    </row>
    <row r="727" spans="2:17" x14ac:dyDescent="0.2">
      <c r="B727" s="72">
        <f t="shared" si="152"/>
        <v>719</v>
      </c>
      <c r="C727" s="12"/>
      <c r="D727" s="12"/>
      <c r="E727" s="12"/>
      <c r="F727" s="52" t="s">
        <v>80</v>
      </c>
      <c r="G727" s="12">
        <v>610</v>
      </c>
      <c r="H727" s="12" t="s">
        <v>135</v>
      </c>
      <c r="I727" s="49">
        <f>19004-71-95-1</f>
        <v>18837</v>
      </c>
      <c r="J727" s="49">
        <v>18837</v>
      </c>
      <c r="K727" s="198">
        <f t="shared" si="159"/>
        <v>100</v>
      </c>
      <c r="L727" s="49"/>
      <c r="M727" s="49"/>
      <c r="N727" s="201"/>
      <c r="O727" s="49">
        <f t="shared" si="160"/>
        <v>18837</v>
      </c>
      <c r="P727" s="49">
        <f t="shared" si="161"/>
        <v>18837</v>
      </c>
      <c r="Q727" s="203">
        <f t="shared" si="162"/>
        <v>100</v>
      </c>
    </row>
    <row r="728" spans="2:17" x14ac:dyDescent="0.2">
      <c r="B728" s="72">
        <f t="shared" si="152"/>
        <v>720</v>
      </c>
      <c r="C728" s="12"/>
      <c r="D728" s="12"/>
      <c r="E728" s="12"/>
      <c r="F728" s="52" t="s">
        <v>80</v>
      </c>
      <c r="G728" s="12">
        <v>620</v>
      </c>
      <c r="H728" s="12" t="s">
        <v>130</v>
      </c>
      <c r="I728" s="49">
        <f>6642-37</f>
        <v>6605</v>
      </c>
      <c r="J728" s="49">
        <v>6605</v>
      </c>
      <c r="K728" s="198">
        <f t="shared" si="159"/>
        <v>100</v>
      </c>
      <c r="L728" s="49"/>
      <c r="M728" s="49"/>
      <c r="N728" s="201"/>
      <c r="O728" s="49">
        <f t="shared" si="160"/>
        <v>6605</v>
      </c>
      <c r="P728" s="49">
        <f t="shared" si="161"/>
        <v>6605</v>
      </c>
      <c r="Q728" s="203">
        <f t="shared" si="162"/>
        <v>100</v>
      </c>
    </row>
    <row r="729" spans="2:17" x14ac:dyDescent="0.2">
      <c r="B729" s="72">
        <f t="shared" si="152"/>
        <v>721</v>
      </c>
      <c r="C729" s="12"/>
      <c r="D729" s="12"/>
      <c r="E729" s="12"/>
      <c r="F729" s="52" t="s">
        <v>80</v>
      </c>
      <c r="G729" s="12">
        <v>630</v>
      </c>
      <c r="H729" s="12" t="s">
        <v>127</v>
      </c>
      <c r="I729" s="49">
        <f>I733+I732+I731+I730</f>
        <v>13950</v>
      </c>
      <c r="J729" s="49">
        <f>J733+J732+J731+J730</f>
        <v>13950</v>
      </c>
      <c r="K729" s="198">
        <f t="shared" si="159"/>
        <v>100</v>
      </c>
      <c r="L729" s="49">
        <f>L733+L732+L731+L730</f>
        <v>0</v>
      </c>
      <c r="M729" s="49">
        <f>M733+M732+M731+M730</f>
        <v>0</v>
      </c>
      <c r="N729" s="201"/>
      <c r="O729" s="49">
        <f t="shared" si="160"/>
        <v>13950</v>
      </c>
      <c r="P729" s="49">
        <f t="shared" si="161"/>
        <v>13950</v>
      </c>
      <c r="Q729" s="203">
        <f t="shared" si="162"/>
        <v>100</v>
      </c>
    </row>
    <row r="730" spans="2:17" x14ac:dyDescent="0.2">
      <c r="B730" s="72">
        <f t="shared" si="152"/>
        <v>722</v>
      </c>
      <c r="C730" s="4"/>
      <c r="D730" s="4"/>
      <c r="E730" s="4"/>
      <c r="F730" s="53" t="s">
        <v>80</v>
      </c>
      <c r="G730" s="4">
        <v>632</v>
      </c>
      <c r="H730" s="4" t="s">
        <v>138</v>
      </c>
      <c r="I730" s="23">
        <f>8464-1500+259</f>
        <v>7223</v>
      </c>
      <c r="J730" s="23">
        <v>7218</v>
      </c>
      <c r="K730" s="198">
        <f t="shared" si="159"/>
        <v>99.930776685587702</v>
      </c>
      <c r="L730" s="23"/>
      <c r="M730" s="23"/>
      <c r="N730" s="201"/>
      <c r="O730" s="23">
        <f t="shared" si="160"/>
        <v>7223</v>
      </c>
      <c r="P730" s="23">
        <f t="shared" si="161"/>
        <v>7218</v>
      </c>
      <c r="Q730" s="203">
        <f t="shared" si="162"/>
        <v>99.930776685587702</v>
      </c>
    </row>
    <row r="731" spans="2:17" x14ac:dyDescent="0.2">
      <c r="B731" s="72">
        <f t="shared" si="152"/>
        <v>723</v>
      </c>
      <c r="C731" s="4"/>
      <c r="D731" s="4"/>
      <c r="E731" s="4"/>
      <c r="F731" s="53" t="s">
        <v>80</v>
      </c>
      <c r="G731" s="4">
        <v>633</v>
      </c>
      <c r="H731" s="4" t="s">
        <v>131</v>
      </c>
      <c r="I731" s="23">
        <f>2060-800+569</f>
        <v>1829</v>
      </c>
      <c r="J731" s="23">
        <v>1828</v>
      </c>
      <c r="K731" s="198">
        <f t="shared" si="159"/>
        <v>99.945325314379446</v>
      </c>
      <c r="L731" s="23"/>
      <c r="M731" s="23"/>
      <c r="N731" s="201"/>
      <c r="O731" s="23">
        <f t="shared" si="160"/>
        <v>1829</v>
      </c>
      <c r="P731" s="23">
        <f t="shared" si="161"/>
        <v>1828</v>
      </c>
      <c r="Q731" s="203">
        <f t="shared" si="162"/>
        <v>99.945325314379446</v>
      </c>
    </row>
    <row r="732" spans="2:17" x14ac:dyDescent="0.2">
      <c r="B732" s="72">
        <f t="shared" si="152"/>
        <v>724</v>
      </c>
      <c r="C732" s="4"/>
      <c r="D732" s="4"/>
      <c r="E732" s="4"/>
      <c r="F732" s="53" t="s">
        <v>80</v>
      </c>
      <c r="G732" s="4">
        <v>635</v>
      </c>
      <c r="H732" s="4" t="s">
        <v>137</v>
      </c>
      <c r="I732" s="23">
        <f>900+2017+72</f>
        <v>2989</v>
      </c>
      <c r="J732" s="23">
        <v>2989</v>
      </c>
      <c r="K732" s="198">
        <f t="shared" si="159"/>
        <v>100</v>
      </c>
      <c r="L732" s="23"/>
      <c r="M732" s="23"/>
      <c r="N732" s="201"/>
      <c r="O732" s="23">
        <f t="shared" si="160"/>
        <v>2989</v>
      </c>
      <c r="P732" s="23">
        <f t="shared" si="161"/>
        <v>2989</v>
      </c>
      <c r="Q732" s="203">
        <f t="shared" si="162"/>
        <v>100</v>
      </c>
    </row>
    <row r="733" spans="2:17" x14ac:dyDescent="0.2">
      <c r="B733" s="72">
        <f t="shared" si="152"/>
        <v>725</v>
      </c>
      <c r="C733" s="4"/>
      <c r="D733" s="4"/>
      <c r="E733" s="4"/>
      <c r="F733" s="53" t="s">
        <v>80</v>
      </c>
      <c r="G733" s="4">
        <v>637</v>
      </c>
      <c r="H733" s="4" t="s">
        <v>128</v>
      </c>
      <c r="I733" s="23">
        <f>1626+1183-900</f>
        <v>1909</v>
      </c>
      <c r="J733" s="23">
        <v>1915</v>
      </c>
      <c r="K733" s="198">
        <f t="shared" si="159"/>
        <v>100.31430068098481</v>
      </c>
      <c r="L733" s="23"/>
      <c r="M733" s="23"/>
      <c r="N733" s="201"/>
      <c r="O733" s="23">
        <f t="shared" si="160"/>
        <v>1909</v>
      </c>
      <c r="P733" s="23">
        <f t="shared" si="161"/>
        <v>1915</v>
      </c>
      <c r="Q733" s="203">
        <f t="shared" si="162"/>
        <v>100.31430068098481</v>
      </c>
    </row>
    <row r="734" spans="2:17" x14ac:dyDescent="0.2">
      <c r="B734" s="72">
        <f t="shared" si="152"/>
        <v>726</v>
      </c>
      <c r="C734" s="4"/>
      <c r="D734" s="4"/>
      <c r="E734" s="4"/>
      <c r="F734" s="96" t="s">
        <v>80</v>
      </c>
      <c r="G734" s="3">
        <v>640</v>
      </c>
      <c r="H734" s="3" t="s">
        <v>134</v>
      </c>
      <c r="I734" s="22">
        <f>71+95+38</f>
        <v>204</v>
      </c>
      <c r="J734" s="22">
        <v>204</v>
      </c>
      <c r="K734" s="198">
        <f t="shared" si="159"/>
        <v>100</v>
      </c>
      <c r="L734" s="22"/>
      <c r="M734" s="22"/>
      <c r="N734" s="201"/>
      <c r="O734" s="22">
        <f t="shared" si="160"/>
        <v>204</v>
      </c>
      <c r="P734" s="22">
        <f t="shared" si="161"/>
        <v>204</v>
      </c>
      <c r="Q734" s="203">
        <f t="shared" si="162"/>
        <v>100</v>
      </c>
    </row>
    <row r="735" spans="2:17" x14ac:dyDescent="0.2">
      <c r="B735" s="72">
        <f t="shared" si="152"/>
        <v>727</v>
      </c>
      <c r="C735" s="12"/>
      <c r="D735" s="12"/>
      <c r="E735" s="12"/>
      <c r="F735" s="52" t="s">
        <v>270</v>
      </c>
      <c r="G735" s="12">
        <v>610</v>
      </c>
      <c r="H735" s="12" t="s">
        <v>135</v>
      </c>
      <c r="I735" s="49">
        <f>19004-71-95-1</f>
        <v>18837</v>
      </c>
      <c r="J735" s="49">
        <v>18837</v>
      </c>
      <c r="K735" s="198">
        <f t="shared" si="159"/>
        <v>100</v>
      </c>
      <c r="L735" s="49"/>
      <c r="M735" s="49"/>
      <c r="N735" s="201"/>
      <c r="O735" s="49">
        <f t="shared" si="160"/>
        <v>18837</v>
      </c>
      <c r="P735" s="49">
        <f t="shared" si="161"/>
        <v>18837</v>
      </c>
      <c r="Q735" s="203">
        <f t="shared" si="162"/>
        <v>100</v>
      </c>
    </row>
    <row r="736" spans="2:17" x14ac:dyDescent="0.2">
      <c r="B736" s="72">
        <f t="shared" ref="B736:B796" si="163">B735+1</f>
        <v>728</v>
      </c>
      <c r="C736" s="12"/>
      <c r="D736" s="12"/>
      <c r="E736" s="12"/>
      <c r="F736" s="52" t="s">
        <v>270</v>
      </c>
      <c r="G736" s="12">
        <v>620</v>
      </c>
      <c r="H736" s="12" t="s">
        <v>130</v>
      </c>
      <c r="I736" s="49">
        <f>6642-37</f>
        <v>6605</v>
      </c>
      <c r="J736" s="49">
        <v>6605</v>
      </c>
      <c r="K736" s="198">
        <f t="shared" ref="K736:K758" si="164">J736/I736*100</f>
        <v>100</v>
      </c>
      <c r="L736" s="49"/>
      <c r="M736" s="49"/>
      <c r="N736" s="201"/>
      <c r="O736" s="49">
        <f t="shared" ref="O736:O765" si="165">L736+I736</f>
        <v>6605</v>
      </c>
      <c r="P736" s="49">
        <f t="shared" ref="P736:P765" si="166">M736+J736</f>
        <v>6605</v>
      </c>
      <c r="Q736" s="203">
        <f t="shared" si="162"/>
        <v>100</v>
      </c>
    </row>
    <row r="737" spans="2:17" x14ac:dyDescent="0.2">
      <c r="B737" s="72">
        <f t="shared" si="163"/>
        <v>729</v>
      </c>
      <c r="C737" s="12"/>
      <c r="D737" s="12"/>
      <c r="E737" s="12"/>
      <c r="F737" s="52" t="s">
        <v>270</v>
      </c>
      <c r="G737" s="12">
        <v>630</v>
      </c>
      <c r="H737" s="12" t="s">
        <v>127</v>
      </c>
      <c r="I737" s="49">
        <f>I741+I740+I739+I738</f>
        <v>15377</v>
      </c>
      <c r="J737" s="49">
        <f>J741+J740+J739+J738</f>
        <v>15377</v>
      </c>
      <c r="K737" s="198">
        <f t="shared" si="164"/>
        <v>100</v>
      </c>
      <c r="L737" s="49">
        <f>L741+L740+L739+L738</f>
        <v>0</v>
      </c>
      <c r="M737" s="49">
        <f>M741+M740+M739+M738</f>
        <v>0</v>
      </c>
      <c r="N737" s="201"/>
      <c r="O737" s="49">
        <f t="shared" si="165"/>
        <v>15377</v>
      </c>
      <c r="P737" s="49">
        <f t="shared" si="166"/>
        <v>15377</v>
      </c>
      <c r="Q737" s="203">
        <f t="shared" si="162"/>
        <v>100</v>
      </c>
    </row>
    <row r="738" spans="2:17" x14ac:dyDescent="0.2">
      <c r="B738" s="72">
        <f t="shared" si="163"/>
        <v>730</v>
      </c>
      <c r="C738" s="4"/>
      <c r="D738" s="4"/>
      <c r="E738" s="4"/>
      <c r="F738" s="53" t="s">
        <v>270</v>
      </c>
      <c r="G738" s="4">
        <v>632</v>
      </c>
      <c r="H738" s="4" t="s">
        <v>138</v>
      </c>
      <c r="I738" s="23">
        <f>8464-1500+259</f>
        <v>7223</v>
      </c>
      <c r="J738" s="23">
        <v>7218</v>
      </c>
      <c r="K738" s="198">
        <f t="shared" si="164"/>
        <v>99.930776685587702</v>
      </c>
      <c r="L738" s="23"/>
      <c r="M738" s="23"/>
      <c r="N738" s="201"/>
      <c r="O738" s="23">
        <f t="shared" si="165"/>
        <v>7223</v>
      </c>
      <c r="P738" s="23">
        <f t="shared" si="166"/>
        <v>7218</v>
      </c>
      <c r="Q738" s="203">
        <f t="shared" si="162"/>
        <v>99.930776685587702</v>
      </c>
    </row>
    <row r="739" spans="2:17" x14ac:dyDescent="0.2">
      <c r="B739" s="72">
        <f t="shared" si="163"/>
        <v>731</v>
      </c>
      <c r="C739" s="4"/>
      <c r="D739" s="4"/>
      <c r="E739" s="4"/>
      <c r="F739" s="53" t="s">
        <v>270</v>
      </c>
      <c r="G739" s="4">
        <v>633</v>
      </c>
      <c r="H739" s="4" t="s">
        <v>131</v>
      </c>
      <c r="I739" s="23">
        <f>2060+627+569</f>
        <v>3256</v>
      </c>
      <c r="J739" s="23">
        <v>3255</v>
      </c>
      <c r="K739" s="198">
        <f t="shared" si="164"/>
        <v>99.969287469287465</v>
      </c>
      <c r="L739" s="23"/>
      <c r="M739" s="23"/>
      <c r="N739" s="201"/>
      <c r="O739" s="23">
        <f t="shared" si="165"/>
        <v>3256</v>
      </c>
      <c r="P739" s="23">
        <f t="shared" si="166"/>
        <v>3255</v>
      </c>
      <c r="Q739" s="203">
        <f t="shared" si="162"/>
        <v>99.969287469287465</v>
      </c>
    </row>
    <row r="740" spans="2:17" x14ac:dyDescent="0.2">
      <c r="B740" s="72">
        <f t="shared" si="163"/>
        <v>732</v>
      </c>
      <c r="C740" s="4"/>
      <c r="D740" s="4"/>
      <c r="E740" s="4"/>
      <c r="F740" s="53" t="s">
        <v>270</v>
      </c>
      <c r="G740" s="4">
        <v>635</v>
      </c>
      <c r="H740" s="4" t="s">
        <v>137</v>
      </c>
      <c r="I740" s="23">
        <f>900+2017+72</f>
        <v>2989</v>
      </c>
      <c r="J740" s="23">
        <v>2989</v>
      </c>
      <c r="K740" s="198">
        <f t="shared" si="164"/>
        <v>100</v>
      </c>
      <c r="L740" s="23"/>
      <c r="M740" s="23"/>
      <c r="N740" s="201"/>
      <c r="O740" s="23">
        <f t="shared" si="165"/>
        <v>2989</v>
      </c>
      <c r="P740" s="23">
        <f t="shared" si="166"/>
        <v>2989</v>
      </c>
      <c r="Q740" s="203">
        <f t="shared" si="162"/>
        <v>100</v>
      </c>
    </row>
    <row r="741" spans="2:17" x14ac:dyDescent="0.2">
      <c r="B741" s="72">
        <f t="shared" si="163"/>
        <v>733</v>
      </c>
      <c r="C741" s="4"/>
      <c r="D741" s="4"/>
      <c r="E741" s="4"/>
      <c r="F741" s="53" t="s">
        <v>270</v>
      </c>
      <c r="G741" s="4">
        <v>637</v>
      </c>
      <c r="H741" s="4" t="s">
        <v>128</v>
      </c>
      <c r="I741" s="23">
        <f>1626+1183-900</f>
        <v>1909</v>
      </c>
      <c r="J741" s="23">
        <v>1915</v>
      </c>
      <c r="K741" s="198">
        <f t="shared" si="164"/>
        <v>100.31430068098481</v>
      </c>
      <c r="L741" s="23"/>
      <c r="M741" s="23"/>
      <c r="N741" s="201"/>
      <c r="O741" s="23">
        <f t="shared" si="165"/>
        <v>1909</v>
      </c>
      <c r="P741" s="23">
        <f t="shared" si="166"/>
        <v>1915</v>
      </c>
      <c r="Q741" s="203">
        <f t="shared" si="162"/>
        <v>100.31430068098481</v>
      </c>
    </row>
    <row r="742" spans="2:17" x14ac:dyDescent="0.2">
      <c r="B742" s="72">
        <f t="shared" si="163"/>
        <v>734</v>
      </c>
      <c r="C742" s="4"/>
      <c r="D742" s="4"/>
      <c r="E742" s="4"/>
      <c r="F742" s="96" t="s">
        <v>270</v>
      </c>
      <c r="G742" s="3">
        <v>640</v>
      </c>
      <c r="H742" s="3" t="s">
        <v>134</v>
      </c>
      <c r="I742" s="22">
        <f>71+95+38</f>
        <v>204</v>
      </c>
      <c r="J742" s="22">
        <v>204</v>
      </c>
      <c r="K742" s="198">
        <f t="shared" si="164"/>
        <v>100</v>
      </c>
      <c r="L742" s="22"/>
      <c r="M742" s="22"/>
      <c r="N742" s="201"/>
      <c r="O742" s="22">
        <f t="shared" si="165"/>
        <v>204</v>
      </c>
      <c r="P742" s="22">
        <f t="shared" si="166"/>
        <v>204</v>
      </c>
      <c r="Q742" s="203">
        <f t="shared" si="162"/>
        <v>100</v>
      </c>
    </row>
    <row r="743" spans="2:17" ht="15" x14ac:dyDescent="0.25">
      <c r="B743" s="72">
        <f t="shared" si="163"/>
        <v>735</v>
      </c>
      <c r="C743" s="15"/>
      <c r="D743" s="15"/>
      <c r="E743" s="15">
        <v>10</v>
      </c>
      <c r="F743" s="50"/>
      <c r="G743" s="15"/>
      <c r="H743" s="15" t="s">
        <v>255</v>
      </c>
      <c r="I743" s="47">
        <f>I744+I745+I746+I751+I752+I753+I754</f>
        <v>108451</v>
      </c>
      <c r="J743" s="47">
        <f>J744+J745+J746+J751+J752+J753+J754</f>
        <v>108451</v>
      </c>
      <c r="K743" s="198">
        <f t="shared" si="164"/>
        <v>100</v>
      </c>
      <c r="L743" s="47">
        <v>0</v>
      </c>
      <c r="M743" s="47">
        <v>0</v>
      </c>
      <c r="N743" s="201"/>
      <c r="O743" s="47">
        <f t="shared" si="165"/>
        <v>108451</v>
      </c>
      <c r="P743" s="47">
        <f t="shared" si="166"/>
        <v>108451</v>
      </c>
      <c r="Q743" s="203">
        <f t="shared" si="162"/>
        <v>100</v>
      </c>
    </row>
    <row r="744" spans="2:17" x14ac:dyDescent="0.2">
      <c r="B744" s="72">
        <f t="shared" si="163"/>
        <v>736</v>
      </c>
      <c r="C744" s="12"/>
      <c r="D744" s="12"/>
      <c r="E744" s="12"/>
      <c r="F744" s="52" t="s">
        <v>80</v>
      </c>
      <c r="G744" s="12">
        <v>610</v>
      </c>
      <c r="H744" s="12" t="s">
        <v>135</v>
      </c>
      <c r="I744" s="49">
        <f>19970+625+9</f>
        <v>20604</v>
      </c>
      <c r="J744" s="49">
        <v>20604</v>
      </c>
      <c r="K744" s="198">
        <f t="shared" si="164"/>
        <v>100</v>
      </c>
      <c r="L744" s="49"/>
      <c r="M744" s="49"/>
      <c r="N744" s="201"/>
      <c r="O744" s="49">
        <f t="shared" si="165"/>
        <v>20604</v>
      </c>
      <c r="P744" s="49">
        <f t="shared" si="166"/>
        <v>20604</v>
      </c>
      <c r="Q744" s="203">
        <f t="shared" si="162"/>
        <v>100</v>
      </c>
    </row>
    <row r="745" spans="2:17" x14ac:dyDescent="0.2">
      <c r="B745" s="72">
        <f t="shared" si="163"/>
        <v>737</v>
      </c>
      <c r="C745" s="12"/>
      <c r="D745" s="12"/>
      <c r="E745" s="12"/>
      <c r="F745" s="52" t="s">
        <v>80</v>
      </c>
      <c r="G745" s="12">
        <v>620</v>
      </c>
      <c r="H745" s="12" t="s">
        <v>130</v>
      </c>
      <c r="I745" s="49">
        <f>6986+300-525-9</f>
        <v>6752</v>
      </c>
      <c r="J745" s="49">
        <v>6752</v>
      </c>
      <c r="K745" s="198">
        <f t="shared" si="164"/>
        <v>100</v>
      </c>
      <c r="L745" s="49"/>
      <c r="M745" s="49"/>
      <c r="N745" s="201"/>
      <c r="O745" s="49">
        <f t="shared" si="165"/>
        <v>6752</v>
      </c>
      <c r="P745" s="49">
        <f t="shared" si="166"/>
        <v>6752</v>
      </c>
      <c r="Q745" s="203">
        <f t="shared" si="162"/>
        <v>100</v>
      </c>
    </row>
    <row r="746" spans="2:17" x14ac:dyDescent="0.2">
      <c r="B746" s="72">
        <f t="shared" si="163"/>
        <v>738</v>
      </c>
      <c r="C746" s="12"/>
      <c r="D746" s="12"/>
      <c r="E746" s="12"/>
      <c r="F746" s="52" t="s">
        <v>80</v>
      </c>
      <c r="G746" s="12">
        <v>630</v>
      </c>
      <c r="H746" s="12" t="s">
        <v>127</v>
      </c>
      <c r="I746" s="49">
        <f>I750+I749+I748+I747</f>
        <v>21613</v>
      </c>
      <c r="J746" s="49">
        <f>J750+J749+J748+J747</f>
        <v>21613</v>
      </c>
      <c r="K746" s="198">
        <f t="shared" si="164"/>
        <v>100</v>
      </c>
      <c r="L746" s="49">
        <f>L750+L749+L748+L747</f>
        <v>0</v>
      </c>
      <c r="M746" s="49">
        <f>M750+M749+M748+M747</f>
        <v>0</v>
      </c>
      <c r="N746" s="201"/>
      <c r="O746" s="49">
        <f t="shared" si="165"/>
        <v>21613</v>
      </c>
      <c r="P746" s="49">
        <f t="shared" si="166"/>
        <v>21613</v>
      </c>
      <c r="Q746" s="203">
        <f t="shared" si="162"/>
        <v>100</v>
      </c>
    </row>
    <row r="747" spans="2:17" x14ac:dyDescent="0.2">
      <c r="B747" s="72">
        <f t="shared" si="163"/>
        <v>739</v>
      </c>
      <c r="C747" s="4"/>
      <c r="D747" s="4"/>
      <c r="E747" s="4"/>
      <c r="F747" s="53" t="s">
        <v>80</v>
      </c>
      <c r="G747" s="4">
        <v>632</v>
      </c>
      <c r="H747" s="4" t="s">
        <v>138</v>
      </c>
      <c r="I747" s="23">
        <v>12840</v>
      </c>
      <c r="J747" s="23">
        <v>12840</v>
      </c>
      <c r="K747" s="198">
        <f t="shared" si="164"/>
        <v>100</v>
      </c>
      <c r="L747" s="23"/>
      <c r="M747" s="23"/>
      <c r="N747" s="201"/>
      <c r="O747" s="23">
        <f t="shared" si="165"/>
        <v>12840</v>
      </c>
      <c r="P747" s="23">
        <f t="shared" si="166"/>
        <v>12840</v>
      </c>
      <c r="Q747" s="203">
        <f t="shared" si="162"/>
        <v>100</v>
      </c>
    </row>
    <row r="748" spans="2:17" x14ac:dyDescent="0.2">
      <c r="B748" s="72">
        <f t="shared" si="163"/>
        <v>740</v>
      </c>
      <c r="C748" s="4"/>
      <c r="D748" s="4"/>
      <c r="E748" s="4"/>
      <c r="F748" s="53" t="s">
        <v>80</v>
      </c>
      <c r="G748" s="4">
        <v>633</v>
      </c>
      <c r="H748" s="4" t="s">
        <v>131</v>
      </c>
      <c r="I748" s="23">
        <f>1795+4222</f>
        <v>6017</v>
      </c>
      <c r="J748" s="23">
        <v>6017</v>
      </c>
      <c r="K748" s="198">
        <f t="shared" si="164"/>
        <v>100</v>
      </c>
      <c r="L748" s="23"/>
      <c r="M748" s="23"/>
      <c r="N748" s="201"/>
      <c r="O748" s="23">
        <f t="shared" si="165"/>
        <v>6017</v>
      </c>
      <c r="P748" s="23">
        <f t="shared" si="166"/>
        <v>6017</v>
      </c>
      <c r="Q748" s="203">
        <f t="shared" si="162"/>
        <v>100</v>
      </c>
    </row>
    <row r="749" spans="2:17" x14ac:dyDescent="0.2">
      <c r="B749" s="72">
        <f t="shared" si="163"/>
        <v>741</v>
      </c>
      <c r="C749" s="4"/>
      <c r="D749" s="4"/>
      <c r="E749" s="4"/>
      <c r="F749" s="53" t="s">
        <v>80</v>
      </c>
      <c r="G749" s="4">
        <v>635</v>
      </c>
      <c r="H749" s="4" t="s">
        <v>137</v>
      </c>
      <c r="I749" s="23">
        <v>410</v>
      </c>
      <c r="J749" s="23">
        <v>410</v>
      </c>
      <c r="K749" s="198">
        <f t="shared" si="164"/>
        <v>100</v>
      </c>
      <c r="L749" s="23"/>
      <c r="M749" s="23"/>
      <c r="N749" s="201"/>
      <c r="O749" s="23">
        <f t="shared" si="165"/>
        <v>410</v>
      </c>
      <c r="P749" s="23">
        <f t="shared" si="166"/>
        <v>410</v>
      </c>
      <c r="Q749" s="203">
        <f t="shared" si="162"/>
        <v>100</v>
      </c>
    </row>
    <row r="750" spans="2:17" x14ac:dyDescent="0.2">
      <c r="B750" s="72">
        <f t="shared" si="163"/>
        <v>742</v>
      </c>
      <c r="C750" s="4"/>
      <c r="D750" s="4"/>
      <c r="E750" s="4"/>
      <c r="F750" s="53" t="s">
        <v>80</v>
      </c>
      <c r="G750" s="4">
        <v>637</v>
      </c>
      <c r="H750" s="4" t="s">
        <v>128</v>
      </c>
      <c r="I750" s="23">
        <v>2346</v>
      </c>
      <c r="J750" s="23">
        <v>2346</v>
      </c>
      <c r="K750" s="198">
        <f t="shared" si="164"/>
        <v>100</v>
      </c>
      <c r="L750" s="23"/>
      <c r="M750" s="23"/>
      <c r="N750" s="201"/>
      <c r="O750" s="23">
        <f t="shared" si="165"/>
        <v>2346</v>
      </c>
      <c r="P750" s="23">
        <f t="shared" si="166"/>
        <v>2346</v>
      </c>
      <c r="Q750" s="203">
        <f t="shared" si="162"/>
        <v>100</v>
      </c>
    </row>
    <row r="751" spans="2:17" x14ac:dyDescent="0.2">
      <c r="B751" s="72">
        <f t="shared" si="163"/>
        <v>743</v>
      </c>
      <c r="C751" s="12"/>
      <c r="D751" s="12"/>
      <c r="E751" s="12"/>
      <c r="F751" s="52" t="s">
        <v>80</v>
      </c>
      <c r="G751" s="12">
        <v>640</v>
      </c>
      <c r="H751" s="12" t="s">
        <v>134</v>
      </c>
      <c r="I751" s="49">
        <f>100+856-100</f>
        <v>856</v>
      </c>
      <c r="J751" s="49">
        <v>856</v>
      </c>
      <c r="K751" s="198">
        <f t="shared" si="164"/>
        <v>100</v>
      </c>
      <c r="L751" s="49"/>
      <c r="M751" s="49"/>
      <c r="N751" s="201"/>
      <c r="O751" s="49">
        <f t="shared" si="165"/>
        <v>856</v>
      </c>
      <c r="P751" s="49">
        <f t="shared" si="166"/>
        <v>856</v>
      </c>
      <c r="Q751" s="203">
        <f t="shared" si="162"/>
        <v>100</v>
      </c>
    </row>
    <row r="752" spans="2:17" x14ac:dyDescent="0.2">
      <c r="B752" s="72">
        <f t="shared" si="163"/>
        <v>744</v>
      </c>
      <c r="C752" s="12"/>
      <c r="D752" s="12"/>
      <c r="E752" s="12"/>
      <c r="F752" s="52" t="s">
        <v>270</v>
      </c>
      <c r="G752" s="12">
        <v>610</v>
      </c>
      <c r="H752" s="12" t="s">
        <v>135</v>
      </c>
      <c r="I752" s="49">
        <f>24655+463-20</f>
        <v>25098</v>
      </c>
      <c r="J752" s="49">
        <v>25097</v>
      </c>
      <c r="K752" s="198">
        <f t="shared" si="164"/>
        <v>99.996015618774408</v>
      </c>
      <c r="L752" s="49"/>
      <c r="M752" s="49"/>
      <c r="N752" s="201"/>
      <c r="O752" s="49">
        <f t="shared" si="165"/>
        <v>25098</v>
      </c>
      <c r="P752" s="49">
        <f t="shared" si="166"/>
        <v>25097</v>
      </c>
      <c r="Q752" s="203">
        <f t="shared" si="162"/>
        <v>99.996015618774408</v>
      </c>
    </row>
    <row r="753" spans="2:17" x14ac:dyDescent="0.2">
      <c r="B753" s="72">
        <f t="shared" si="163"/>
        <v>745</v>
      </c>
      <c r="C753" s="12"/>
      <c r="D753" s="12"/>
      <c r="E753" s="12"/>
      <c r="F753" s="52" t="s">
        <v>270</v>
      </c>
      <c r="G753" s="12">
        <v>620</v>
      </c>
      <c r="H753" s="12" t="s">
        <v>130</v>
      </c>
      <c r="I753" s="49">
        <f>8611-363+20</f>
        <v>8268</v>
      </c>
      <c r="J753" s="49">
        <v>8269</v>
      </c>
      <c r="K753" s="198">
        <f t="shared" si="164"/>
        <v>100.01209482341558</v>
      </c>
      <c r="L753" s="49"/>
      <c r="M753" s="49"/>
      <c r="N753" s="201"/>
      <c r="O753" s="49">
        <f t="shared" si="165"/>
        <v>8268</v>
      </c>
      <c r="P753" s="49">
        <f t="shared" si="166"/>
        <v>8269</v>
      </c>
      <c r="Q753" s="203">
        <f t="shared" si="162"/>
        <v>100.01209482341558</v>
      </c>
    </row>
    <row r="754" spans="2:17" x14ac:dyDescent="0.2">
      <c r="B754" s="72">
        <f t="shared" si="163"/>
        <v>746</v>
      </c>
      <c r="C754" s="12"/>
      <c r="D754" s="12"/>
      <c r="E754" s="12"/>
      <c r="F754" s="52" t="s">
        <v>270</v>
      </c>
      <c r="G754" s="12">
        <v>630</v>
      </c>
      <c r="H754" s="12" t="s">
        <v>127</v>
      </c>
      <c r="I754" s="49">
        <f>I758+I757+I756+I755</f>
        <v>25260</v>
      </c>
      <c r="J754" s="49">
        <f>J758+J757+J756+J755</f>
        <v>25260</v>
      </c>
      <c r="K754" s="198">
        <f t="shared" si="164"/>
        <v>100</v>
      </c>
      <c r="L754" s="49">
        <f>L758+L757+L756+L755</f>
        <v>0</v>
      </c>
      <c r="M754" s="49">
        <f>M758+M757+M756+M755</f>
        <v>0</v>
      </c>
      <c r="N754" s="201"/>
      <c r="O754" s="49">
        <f t="shared" si="165"/>
        <v>25260</v>
      </c>
      <c r="P754" s="49">
        <f t="shared" si="166"/>
        <v>25260</v>
      </c>
      <c r="Q754" s="203">
        <f t="shared" si="162"/>
        <v>100</v>
      </c>
    </row>
    <row r="755" spans="2:17" x14ac:dyDescent="0.2">
      <c r="B755" s="72">
        <f t="shared" si="163"/>
        <v>747</v>
      </c>
      <c r="C755" s="4"/>
      <c r="D755" s="4"/>
      <c r="E755" s="4"/>
      <c r="F755" s="53" t="s">
        <v>270</v>
      </c>
      <c r="G755" s="4">
        <v>632</v>
      </c>
      <c r="H755" s="4" t="s">
        <v>138</v>
      </c>
      <c r="I755" s="23">
        <v>15150</v>
      </c>
      <c r="J755" s="23">
        <v>15150</v>
      </c>
      <c r="K755" s="198">
        <f t="shared" si="164"/>
        <v>100</v>
      </c>
      <c r="L755" s="23"/>
      <c r="M755" s="23"/>
      <c r="N755" s="201"/>
      <c r="O755" s="23">
        <f t="shared" si="165"/>
        <v>15150</v>
      </c>
      <c r="P755" s="23">
        <f t="shared" si="166"/>
        <v>15150</v>
      </c>
      <c r="Q755" s="203">
        <f t="shared" si="162"/>
        <v>100</v>
      </c>
    </row>
    <row r="756" spans="2:17" x14ac:dyDescent="0.2">
      <c r="B756" s="72">
        <f t="shared" si="163"/>
        <v>748</v>
      </c>
      <c r="C756" s="4"/>
      <c r="D756" s="4"/>
      <c r="E756" s="4"/>
      <c r="F756" s="53" t="s">
        <v>270</v>
      </c>
      <c r="G756" s="4">
        <v>633</v>
      </c>
      <c r="H756" s="4" t="s">
        <v>131</v>
      </c>
      <c r="I756" s="23">
        <f>1725+5161</f>
        <v>6886</v>
      </c>
      <c r="J756" s="23">
        <v>6886</v>
      </c>
      <c r="K756" s="198">
        <f t="shared" si="164"/>
        <v>100</v>
      </c>
      <c r="L756" s="23"/>
      <c r="M756" s="23"/>
      <c r="N756" s="201"/>
      <c r="O756" s="23">
        <f t="shared" si="165"/>
        <v>6886</v>
      </c>
      <c r="P756" s="23">
        <f t="shared" si="166"/>
        <v>6886</v>
      </c>
      <c r="Q756" s="203">
        <f t="shared" si="162"/>
        <v>100</v>
      </c>
    </row>
    <row r="757" spans="2:17" x14ac:dyDescent="0.2">
      <c r="B757" s="72">
        <f t="shared" si="163"/>
        <v>749</v>
      </c>
      <c r="C757" s="4"/>
      <c r="D757" s="4"/>
      <c r="E757" s="4"/>
      <c r="F757" s="53" t="s">
        <v>270</v>
      </c>
      <c r="G757" s="4">
        <v>635</v>
      </c>
      <c r="H757" s="4" t="s">
        <v>137</v>
      </c>
      <c r="I757" s="23">
        <v>663</v>
      </c>
      <c r="J757" s="23">
        <v>663</v>
      </c>
      <c r="K757" s="198">
        <f t="shared" si="164"/>
        <v>100</v>
      </c>
      <c r="L757" s="23"/>
      <c r="M757" s="23"/>
      <c r="N757" s="201"/>
      <c r="O757" s="23">
        <f t="shared" si="165"/>
        <v>663</v>
      </c>
      <c r="P757" s="23">
        <f t="shared" si="166"/>
        <v>663</v>
      </c>
      <c r="Q757" s="203">
        <f t="shared" si="162"/>
        <v>100</v>
      </c>
    </row>
    <row r="758" spans="2:17" x14ac:dyDescent="0.2">
      <c r="B758" s="72">
        <f t="shared" si="163"/>
        <v>750</v>
      </c>
      <c r="C758" s="4"/>
      <c r="D758" s="4"/>
      <c r="E758" s="4"/>
      <c r="F758" s="53" t="s">
        <v>270</v>
      </c>
      <c r="G758" s="4">
        <v>637</v>
      </c>
      <c r="H758" s="4" t="s">
        <v>128</v>
      </c>
      <c r="I758" s="23">
        <v>2561</v>
      </c>
      <c r="J758" s="23">
        <v>2561</v>
      </c>
      <c r="K758" s="198">
        <f t="shared" si="164"/>
        <v>100</v>
      </c>
      <c r="L758" s="23"/>
      <c r="M758" s="23"/>
      <c r="N758" s="201"/>
      <c r="O758" s="23">
        <f t="shared" si="165"/>
        <v>2561</v>
      </c>
      <c r="P758" s="23">
        <f t="shared" si="166"/>
        <v>2561</v>
      </c>
      <c r="Q758" s="203">
        <f t="shared" ref="Q758" si="167">P758/O758*100</f>
        <v>100</v>
      </c>
    </row>
    <row r="759" spans="2:17" ht="15" x14ac:dyDescent="0.25">
      <c r="B759" s="72">
        <f t="shared" si="163"/>
        <v>751</v>
      </c>
      <c r="C759" s="15"/>
      <c r="D759" s="15"/>
      <c r="E759" s="15">
        <v>11</v>
      </c>
      <c r="F759" s="50"/>
      <c r="G759" s="15"/>
      <c r="H759" s="15" t="s">
        <v>272</v>
      </c>
      <c r="I759" s="47">
        <f>I760+I761+I762+I767+I768+I769+I775+I770</f>
        <v>111835</v>
      </c>
      <c r="J759" s="47">
        <f>J760+J761+J762+J767+J768+J769+J775+J770</f>
        <v>111836</v>
      </c>
      <c r="K759" s="198">
        <f>J759/I759*100</f>
        <v>100.00089417445344</v>
      </c>
      <c r="L759" s="47">
        <f>L760+L761+L762+L767+L768+L769+L775+L770+L776+L777+L778</f>
        <v>20000</v>
      </c>
      <c r="M759" s="47">
        <f>M760+M761+M762+M767+M768+M769+M775+M770+M776+M777+M778</f>
        <v>19494</v>
      </c>
      <c r="N759" s="201"/>
      <c r="O759" s="47">
        <f t="shared" si="165"/>
        <v>131835</v>
      </c>
      <c r="P759" s="47">
        <f t="shared" si="166"/>
        <v>131330</v>
      </c>
      <c r="Q759" s="203">
        <f>P759/O759*100</f>
        <v>99.616945424204488</v>
      </c>
    </row>
    <row r="760" spans="2:17" x14ac:dyDescent="0.2">
      <c r="B760" s="72">
        <f t="shared" si="163"/>
        <v>752</v>
      </c>
      <c r="C760" s="12"/>
      <c r="D760" s="12"/>
      <c r="E760" s="12"/>
      <c r="F760" s="52" t="s">
        <v>80</v>
      </c>
      <c r="G760" s="12">
        <v>610</v>
      </c>
      <c r="H760" s="12" t="s">
        <v>135</v>
      </c>
      <c r="I760" s="49">
        <f>24537+3575</f>
        <v>28112</v>
      </c>
      <c r="J760" s="49">
        <v>28112</v>
      </c>
      <c r="K760" s="198">
        <f>J760/I760*100</f>
        <v>100</v>
      </c>
      <c r="L760" s="49"/>
      <c r="M760" s="49"/>
      <c r="N760" s="201"/>
      <c r="O760" s="49">
        <f t="shared" si="165"/>
        <v>28112</v>
      </c>
      <c r="P760" s="49">
        <f t="shared" si="166"/>
        <v>28112</v>
      </c>
      <c r="Q760" s="203">
        <f>P760/O760*100</f>
        <v>100</v>
      </c>
    </row>
    <row r="761" spans="2:17" x14ac:dyDescent="0.2">
      <c r="B761" s="72">
        <f t="shared" si="163"/>
        <v>753</v>
      </c>
      <c r="C761" s="12"/>
      <c r="D761" s="12"/>
      <c r="E761" s="12"/>
      <c r="F761" s="52" t="s">
        <v>80</v>
      </c>
      <c r="G761" s="12">
        <v>620</v>
      </c>
      <c r="H761" s="12" t="s">
        <v>130</v>
      </c>
      <c r="I761" s="49">
        <f>8588+1547</f>
        <v>10135</v>
      </c>
      <c r="J761" s="49">
        <v>10135</v>
      </c>
      <c r="K761" s="198">
        <f>J761/I761*100</f>
        <v>100</v>
      </c>
      <c r="L761" s="49"/>
      <c r="M761" s="49"/>
      <c r="N761" s="201"/>
      <c r="O761" s="49">
        <f t="shared" si="165"/>
        <v>10135</v>
      </c>
      <c r="P761" s="49">
        <f t="shared" si="166"/>
        <v>10135</v>
      </c>
      <c r="Q761" s="203">
        <f>P761/O761*100</f>
        <v>100</v>
      </c>
    </row>
    <row r="762" spans="2:17" x14ac:dyDescent="0.2">
      <c r="B762" s="72">
        <f t="shared" si="163"/>
        <v>754</v>
      </c>
      <c r="C762" s="12"/>
      <c r="D762" s="12"/>
      <c r="E762" s="12"/>
      <c r="F762" s="52" t="s">
        <v>80</v>
      </c>
      <c r="G762" s="12">
        <v>630</v>
      </c>
      <c r="H762" s="12" t="s">
        <v>127</v>
      </c>
      <c r="I762" s="49">
        <f>I766+I765+I764+I763</f>
        <v>9050</v>
      </c>
      <c r="J762" s="49">
        <f>J766+J765+J764+J763</f>
        <v>9051</v>
      </c>
      <c r="K762" s="198">
        <f>J762/I762*100</f>
        <v>100.0110497237569</v>
      </c>
      <c r="L762" s="49">
        <v>0</v>
      </c>
      <c r="M762" s="49">
        <v>0</v>
      </c>
      <c r="N762" s="201"/>
      <c r="O762" s="49">
        <f t="shared" si="165"/>
        <v>9050</v>
      </c>
      <c r="P762" s="49">
        <f t="shared" si="166"/>
        <v>9051</v>
      </c>
      <c r="Q762" s="203">
        <f>P762/O762*100</f>
        <v>100.0110497237569</v>
      </c>
    </row>
    <row r="763" spans="2:17" x14ac:dyDescent="0.2">
      <c r="B763" s="72">
        <f t="shared" si="163"/>
        <v>755</v>
      </c>
      <c r="C763" s="4"/>
      <c r="D763" s="4"/>
      <c r="E763" s="4"/>
      <c r="F763" s="53" t="s">
        <v>80</v>
      </c>
      <c r="G763" s="4">
        <v>632</v>
      </c>
      <c r="H763" s="4" t="s">
        <v>138</v>
      </c>
      <c r="I763" s="23">
        <f>1860+140</f>
        <v>2000</v>
      </c>
      <c r="J763" s="23">
        <v>2000</v>
      </c>
      <c r="K763" s="198">
        <f t="shared" ref="K763:K770" si="168">J763/I763*100</f>
        <v>100</v>
      </c>
      <c r="L763" s="23"/>
      <c r="M763" s="23"/>
      <c r="N763" s="201"/>
      <c r="O763" s="23">
        <f t="shared" si="165"/>
        <v>2000</v>
      </c>
      <c r="P763" s="23">
        <f t="shared" si="166"/>
        <v>2000</v>
      </c>
      <c r="Q763" s="203">
        <f t="shared" ref="Q763:Q770" si="169">P763/O763*100</f>
        <v>100</v>
      </c>
    </row>
    <row r="764" spans="2:17" x14ac:dyDescent="0.2">
      <c r="B764" s="72">
        <f t="shared" si="163"/>
        <v>756</v>
      </c>
      <c r="C764" s="4"/>
      <c r="D764" s="4"/>
      <c r="E764" s="4"/>
      <c r="F764" s="53" t="s">
        <v>80</v>
      </c>
      <c r="G764" s="4">
        <v>633</v>
      </c>
      <c r="H764" s="4" t="s">
        <v>131</v>
      </c>
      <c r="I764" s="23">
        <f>1561+1636</f>
        <v>3197</v>
      </c>
      <c r="J764" s="23">
        <v>3197</v>
      </c>
      <c r="K764" s="198">
        <f t="shared" si="168"/>
        <v>100</v>
      </c>
      <c r="L764" s="23"/>
      <c r="M764" s="23"/>
      <c r="N764" s="201"/>
      <c r="O764" s="23">
        <f t="shared" si="165"/>
        <v>3197</v>
      </c>
      <c r="P764" s="23">
        <f t="shared" si="166"/>
        <v>3197</v>
      </c>
      <c r="Q764" s="203">
        <f t="shared" si="169"/>
        <v>100</v>
      </c>
    </row>
    <row r="765" spans="2:17" x14ac:dyDescent="0.2">
      <c r="B765" s="72">
        <f t="shared" si="163"/>
        <v>757</v>
      </c>
      <c r="C765" s="4"/>
      <c r="D765" s="4"/>
      <c r="E765" s="4"/>
      <c r="F765" s="53" t="s">
        <v>80</v>
      </c>
      <c r="G765" s="4">
        <v>635</v>
      </c>
      <c r="H765" s="4" t="s">
        <v>137</v>
      </c>
      <c r="I765" s="23">
        <f>347+208+231</f>
        <v>786</v>
      </c>
      <c r="J765" s="23">
        <v>786</v>
      </c>
      <c r="K765" s="198">
        <f t="shared" si="168"/>
        <v>100</v>
      </c>
      <c r="L765" s="23"/>
      <c r="M765" s="23"/>
      <c r="N765" s="201"/>
      <c r="O765" s="23">
        <f t="shared" si="165"/>
        <v>786</v>
      </c>
      <c r="P765" s="23">
        <f t="shared" si="166"/>
        <v>786</v>
      </c>
      <c r="Q765" s="203">
        <f t="shared" si="169"/>
        <v>100</v>
      </c>
    </row>
    <row r="766" spans="2:17" x14ac:dyDescent="0.2">
      <c r="B766" s="72">
        <f t="shared" si="163"/>
        <v>758</v>
      </c>
      <c r="C766" s="4"/>
      <c r="D766" s="4"/>
      <c r="E766" s="4"/>
      <c r="F766" s="53" t="s">
        <v>80</v>
      </c>
      <c r="G766" s="4">
        <v>637</v>
      </c>
      <c r="H766" s="4" t="s">
        <v>128</v>
      </c>
      <c r="I766" s="23">
        <f>2187+763+117</f>
        <v>3067</v>
      </c>
      <c r="J766" s="23">
        <v>3068</v>
      </c>
      <c r="K766" s="198">
        <f t="shared" si="168"/>
        <v>100.03260515161396</v>
      </c>
      <c r="L766" s="23"/>
      <c r="M766" s="23"/>
      <c r="N766" s="201"/>
      <c r="O766" s="23">
        <f t="shared" ref="O766:O775" si="170">L766+I766</f>
        <v>3067</v>
      </c>
      <c r="P766" s="23">
        <f t="shared" ref="P766:P775" si="171">M766+J766</f>
        <v>3068</v>
      </c>
      <c r="Q766" s="203">
        <f t="shared" si="169"/>
        <v>100.03260515161396</v>
      </c>
    </row>
    <row r="767" spans="2:17" x14ac:dyDescent="0.2">
      <c r="B767" s="72">
        <f t="shared" si="163"/>
        <v>759</v>
      </c>
      <c r="C767" s="12"/>
      <c r="D767" s="12"/>
      <c r="E767" s="12"/>
      <c r="F767" s="52" t="s">
        <v>80</v>
      </c>
      <c r="G767" s="12">
        <v>640</v>
      </c>
      <c r="H767" s="12" t="s">
        <v>134</v>
      </c>
      <c r="I767" s="49">
        <f>107+935+36</f>
        <v>1078</v>
      </c>
      <c r="J767" s="49">
        <v>1078</v>
      </c>
      <c r="K767" s="198">
        <f t="shared" si="168"/>
        <v>100</v>
      </c>
      <c r="L767" s="49"/>
      <c r="M767" s="49"/>
      <c r="N767" s="201"/>
      <c r="O767" s="49">
        <f t="shared" si="170"/>
        <v>1078</v>
      </c>
      <c r="P767" s="49">
        <f t="shared" si="171"/>
        <v>1078</v>
      </c>
      <c r="Q767" s="203">
        <f t="shared" si="169"/>
        <v>100</v>
      </c>
    </row>
    <row r="768" spans="2:17" x14ac:dyDescent="0.2">
      <c r="B768" s="72">
        <f t="shared" si="163"/>
        <v>760</v>
      </c>
      <c r="C768" s="12"/>
      <c r="D768" s="12"/>
      <c r="E768" s="12"/>
      <c r="F768" s="52" t="s">
        <v>270</v>
      </c>
      <c r="G768" s="12">
        <v>610</v>
      </c>
      <c r="H768" s="12" t="s">
        <v>135</v>
      </c>
      <c r="I768" s="49">
        <f>36806+5163-3552</f>
        <v>38417</v>
      </c>
      <c r="J768" s="49">
        <v>38417</v>
      </c>
      <c r="K768" s="198">
        <f t="shared" si="168"/>
        <v>100</v>
      </c>
      <c r="L768" s="49"/>
      <c r="M768" s="49"/>
      <c r="N768" s="201"/>
      <c r="O768" s="49">
        <f t="shared" si="170"/>
        <v>38417</v>
      </c>
      <c r="P768" s="49">
        <f t="shared" si="171"/>
        <v>38417</v>
      </c>
      <c r="Q768" s="203">
        <f t="shared" si="169"/>
        <v>100</v>
      </c>
    </row>
    <row r="769" spans="2:17" x14ac:dyDescent="0.2">
      <c r="B769" s="72">
        <f t="shared" si="163"/>
        <v>761</v>
      </c>
      <c r="C769" s="12"/>
      <c r="D769" s="12"/>
      <c r="E769" s="12"/>
      <c r="F769" s="52" t="s">
        <v>270</v>
      </c>
      <c r="G769" s="12">
        <v>620</v>
      </c>
      <c r="H769" s="12" t="s">
        <v>130</v>
      </c>
      <c r="I769" s="49">
        <f>12882+1808-1570-524</f>
        <v>12596</v>
      </c>
      <c r="J769" s="49">
        <v>12596</v>
      </c>
      <c r="K769" s="198">
        <f t="shared" si="168"/>
        <v>100</v>
      </c>
      <c r="L769" s="49"/>
      <c r="M769" s="49"/>
      <c r="N769" s="201"/>
      <c r="O769" s="49">
        <f t="shared" si="170"/>
        <v>12596</v>
      </c>
      <c r="P769" s="49">
        <f t="shared" si="171"/>
        <v>12596</v>
      </c>
      <c r="Q769" s="203">
        <f t="shared" si="169"/>
        <v>100</v>
      </c>
    </row>
    <row r="770" spans="2:17" x14ac:dyDescent="0.2">
      <c r="B770" s="72">
        <f t="shared" si="163"/>
        <v>762</v>
      </c>
      <c r="C770" s="12"/>
      <c r="D770" s="12"/>
      <c r="E770" s="12"/>
      <c r="F770" s="52" t="s">
        <v>270</v>
      </c>
      <c r="G770" s="12">
        <v>630</v>
      </c>
      <c r="H770" s="12" t="s">
        <v>127</v>
      </c>
      <c r="I770" s="49">
        <f>I774+I773+I772+I771</f>
        <v>12371</v>
      </c>
      <c r="J770" s="49">
        <f>J774+J773+J772+J771</f>
        <v>12371</v>
      </c>
      <c r="K770" s="198">
        <f t="shared" si="168"/>
        <v>100</v>
      </c>
      <c r="L770" s="49">
        <f>L774+L773+L772+L771</f>
        <v>0</v>
      </c>
      <c r="M770" s="49">
        <f>M774+M773+M772+M771</f>
        <v>0</v>
      </c>
      <c r="N770" s="201"/>
      <c r="O770" s="49">
        <f t="shared" si="170"/>
        <v>12371</v>
      </c>
      <c r="P770" s="49">
        <f t="shared" si="171"/>
        <v>12371</v>
      </c>
      <c r="Q770" s="203">
        <f t="shared" si="169"/>
        <v>100</v>
      </c>
    </row>
    <row r="771" spans="2:17" x14ac:dyDescent="0.2">
      <c r="B771" s="72">
        <f t="shared" si="163"/>
        <v>763</v>
      </c>
      <c r="C771" s="4"/>
      <c r="D771" s="4"/>
      <c r="E771" s="4"/>
      <c r="F771" s="53" t="s">
        <v>270</v>
      </c>
      <c r="G771" s="4">
        <v>632</v>
      </c>
      <c r="H771" s="4" t="s">
        <v>138</v>
      </c>
      <c r="I771" s="23">
        <v>2791</v>
      </c>
      <c r="J771" s="23">
        <v>2791</v>
      </c>
      <c r="K771" s="198">
        <f>J771/I771*100</f>
        <v>100</v>
      </c>
      <c r="L771" s="23"/>
      <c r="M771" s="23"/>
      <c r="N771" s="201"/>
      <c r="O771" s="23">
        <f t="shared" si="170"/>
        <v>2791</v>
      </c>
      <c r="P771" s="23">
        <f t="shared" si="171"/>
        <v>2791</v>
      </c>
      <c r="Q771" s="203">
        <f t="shared" ref="Q771:Q778" si="172">P771/O771*100</f>
        <v>100</v>
      </c>
    </row>
    <row r="772" spans="2:17" x14ac:dyDescent="0.2">
      <c r="B772" s="72">
        <f t="shared" si="163"/>
        <v>764</v>
      </c>
      <c r="C772" s="4"/>
      <c r="D772" s="4"/>
      <c r="E772" s="4"/>
      <c r="F772" s="53" t="s">
        <v>270</v>
      </c>
      <c r="G772" s="4">
        <v>633</v>
      </c>
      <c r="H772" s="4" t="s">
        <v>131</v>
      </c>
      <c r="I772" s="23">
        <f>2341+2456</f>
        <v>4797</v>
      </c>
      <c r="J772" s="23">
        <v>4797</v>
      </c>
      <c r="K772" s="198">
        <f>J772/I772*100</f>
        <v>100</v>
      </c>
      <c r="L772" s="23"/>
      <c r="M772" s="23"/>
      <c r="N772" s="201"/>
      <c r="O772" s="23">
        <f t="shared" si="170"/>
        <v>4797</v>
      </c>
      <c r="P772" s="23">
        <f t="shared" si="171"/>
        <v>4797</v>
      </c>
      <c r="Q772" s="203">
        <f t="shared" si="172"/>
        <v>100</v>
      </c>
    </row>
    <row r="773" spans="2:17" x14ac:dyDescent="0.2">
      <c r="B773" s="72">
        <f t="shared" si="163"/>
        <v>765</v>
      </c>
      <c r="C773" s="4"/>
      <c r="D773" s="4"/>
      <c r="E773" s="4"/>
      <c r="F773" s="53" t="s">
        <v>270</v>
      </c>
      <c r="G773" s="4">
        <v>635</v>
      </c>
      <c r="H773" s="4" t="s">
        <v>137</v>
      </c>
      <c r="I773" s="23">
        <f>520+312</f>
        <v>832</v>
      </c>
      <c r="J773" s="23">
        <v>832</v>
      </c>
      <c r="K773" s="198">
        <f>J773/I773*100</f>
        <v>100</v>
      </c>
      <c r="L773" s="23"/>
      <c r="M773" s="23"/>
      <c r="N773" s="201"/>
      <c r="O773" s="23">
        <f t="shared" si="170"/>
        <v>832</v>
      </c>
      <c r="P773" s="23">
        <f t="shared" si="171"/>
        <v>832</v>
      </c>
      <c r="Q773" s="203">
        <f t="shared" si="172"/>
        <v>100</v>
      </c>
    </row>
    <row r="774" spans="2:17" x14ac:dyDescent="0.2">
      <c r="B774" s="72">
        <f t="shared" si="163"/>
        <v>766</v>
      </c>
      <c r="C774" s="4"/>
      <c r="D774" s="4"/>
      <c r="E774" s="4"/>
      <c r="F774" s="53" t="s">
        <v>270</v>
      </c>
      <c r="G774" s="4">
        <v>637</v>
      </c>
      <c r="H774" s="4" t="s">
        <v>128</v>
      </c>
      <c r="I774" s="23">
        <f>3280+671</f>
        <v>3951</v>
      </c>
      <c r="J774" s="23">
        <v>3951</v>
      </c>
      <c r="K774" s="198">
        <f>J774/I774*100</f>
        <v>100</v>
      </c>
      <c r="L774" s="23"/>
      <c r="M774" s="23"/>
      <c r="N774" s="201"/>
      <c r="O774" s="23">
        <f t="shared" si="170"/>
        <v>3951</v>
      </c>
      <c r="P774" s="23">
        <f t="shared" si="171"/>
        <v>3951</v>
      </c>
      <c r="Q774" s="203">
        <f t="shared" si="172"/>
        <v>100</v>
      </c>
    </row>
    <row r="775" spans="2:17" x14ac:dyDescent="0.2">
      <c r="B775" s="72">
        <f t="shared" si="163"/>
        <v>767</v>
      </c>
      <c r="C775" s="12"/>
      <c r="D775" s="12"/>
      <c r="E775" s="12"/>
      <c r="F775" s="52" t="s">
        <v>270</v>
      </c>
      <c r="G775" s="12">
        <v>640</v>
      </c>
      <c r="H775" s="12" t="s">
        <v>134</v>
      </c>
      <c r="I775" s="49">
        <f>161-85</f>
        <v>76</v>
      </c>
      <c r="J775" s="49">
        <v>76</v>
      </c>
      <c r="K775" s="198">
        <f>J775/I775*100</f>
        <v>100</v>
      </c>
      <c r="L775" s="49"/>
      <c r="M775" s="49"/>
      <c r="N775" s="201"/>
      <c r="O775" s="49">
        <f t="shared" si="170"/>
        <v>76</v>
      </c>
      <c r="P775" s="49">
        <f t="shared" si="171"/>
        <v>76</v>
      </c>
      <c r="Q775" s="203">
        <f t="shared" si="172"/>
        <v>100</v>
      </c>
    </row>
    <row r="776" spans="2:17" x14ac:dyDescent="0.2">
      <c r="B776" s="72">
        <f t="shared" si="163"/>
        <v>768</v>
      </c>
      <c r="C776" s="12"/>
      <c r="D776" s="12"/>
      <c r="E776" s="12"/>
      <c r="F776" s="160" t="s">
        <v>270</v>
      </c>
      <c r="G776" s="115">
        <v>713</v>
      </c>
      <c r="H776" s="115" t="s">
        <v>759</v>
      </c>
      <c r="I776" s="114"/>
      <c r="J776" s="114"/>
      <c r="K776" s="198"/>
      <c r="L776" s="114">
        <f>10000+10000-7600</f>
        <v>12400</v>
      </c>
      <c r="M776" s="114">
        <v>12390</v>
      </c>
      <c r="N776" s="201">
        <f t="shared" ref="N776:N802" si="173">M776/L776*100</f>
        <v>99.91935483870968</v>
      </c>
      <c r="O776" s="114">
        <f>I776+L776</f>
        <v>12400</v>
      </c>
      <c r="P776" s="114">
        <f>J776+M776</f>
        <v>12390</v>
      </c>
      <c r="Q776" s="203">
        <f t="shared" si="172"/>
        <v>99.91935483870968</v>
      </c>
    </row>
    <row r="777" spans="2:17" x14ac:dyDescent="0.2">
      <c r="B777" s="72">
        <f t="shared" si="163"/>
        <v>769</v>
      </c>
      <c r="C777" s="12"/>
      <c r="D777" s="12"/>
      <c r="E777" s="12"/>
      <c r="F777" s="64" t="s">
        <v>270</v>
      </c>
      <c r="G777" s="60">
        <v>713</v>
      </c>
      <c r="H777" s="60" t="s">
        <v>760</v>
      </c>
      <c r="I777" s="58"/>
      <c r="J777" s="58"/>
      <c r="K777" s="198"/>
      <c r="L777" s="58">
        <v>4700</v>
      </c>
      <c r="M777" s="58">
        <v>4382</v>
      </c>
      <c r="N777" s="201">
        <f t="shared" si="173"/>
        <v>93.234042553191486</v>
      </c>
      <c r="O777" s="58">
        <f>L777</f>
        <v>4700</v>
      </c>
      <c r="P777" s="58">
        <f>M777</f>
        <v>4382</v>
      </c>
      <c r="Q777" s="203">
        <f t="shared" si="172"/>
        <v>93.234042553191486</v>
      </c>
    </row>
    <row r="778" spans="2:17" x14ac:dyDescent="0.2">
      <c r="B778" s="72">
        <f t="shared" si="163"/>
        <v>770</v>
      </c>
      <c r="C778" s="12"/>
      <c r="D778" s="12"/>
      <c r="E778" s="12"/>
      <c r="F778" s="64" t="s">
        <v>270</v>
      </c>
      <c r="G778" s="60">
        <v>713</v>
      </c>
      <c r="H778" s="60" t="s">
        <v>761</v>
      </c>
      <c r="I778" s="58"/>
      <c r="J778" s="58"/>
      <c r="K778" s="198"/>
      <c r="L778" s="58">
        <v>2900</v>
      </c>
      <c r="M778" s="58">
        <v>2722</v>
      </c>
      <c r="N778" s="201">
        <f t="shared" si="173"/>
        <v>93.862068965517238</v>
      </c>
      <c r="O778" s="58">
        <f>L778</f>
        <v>2900</v>
      </c>
      <c r="P778" s="58">
        <f>M778</f>
        <v>2722</v>
      </c>
      <c r="Q778" s="203">
        <f t="shared" si="172"/>
        <v>93.862068965517238</v>
      </c>
    </row>
    <row r="779" spans="2:17" x14ac:dyDescent="0.2">
      <c r="B779" s="72">
        <f t="shared" si="163"/>
        <v>771</v>
      </c>
      <c r="C779" s="12"/>
      <c r="D779" s="12"/>
      <c r="E779" s="12"/>
      <c r="F779" s="52"/>
      <c r="G779" s="12"/>
      <c r="H779" s="12"/>
      <c r="I779" s="49"/>
      <c r="J779" s="49"/>
      <c r="K779" s="198"/>
      <c r="L779" s="49"/>
      <c r="M779" s="49"/>
      <c r="N779" s="201"/>
      <c r="O779" s="49"/>
      <c r="P779" s="49"/>
      <c r="Q779" s="203"/>
    </row>
    <row r="780" spans="2:17" ht="15" x14ac:dyDescent="0.25">
      <c r="B780" s="72">
        <f t="shared" si="163"/>
        <v>772</v>
      </c>
      <c r="C780" s="15"/>
      <c r="D780" s="15"/>
      <c r="E780" s="15">
        <v>12</v>
      </c>
      <c r="F780" s="50"/>
      <c r="G780" s="15"/>
      <c r="H780" s="15" t="s">
        <v>271</v>
      </c>
      <c r="I780" s="47">
        <f>I781+I782+I783+I789+I790+I791+I792+I797+I798</f>
        <v>88146</v>
      </c>
      <c r="J780" s="47">
        <f>J781+J782+J783+J789+J790+J791+J792+J797+J798</f>
        <v>88110</v>
      </c>
      <c r="K780" s="198">
        <f t="shared" ref="K780:K792" si="174">J780/I780*100</f>
        <v>99.959158668572599</v>
      </c>
      <c r="L780" s="47">
        <f>L781+L782+L783+L789+L790+L791+L792+L797+L798</f>
        <v>40000</v>
      </c>
      <c r="M780" s="47">
        <f>M781+M782+M783+M789+M790+M791+M792+M797+M798</f>
        <v>4788</v>
      </c>
      <c r="N780" s="201">
        <f t="shared" si="173"/>
        <v>11.97</v>
      </c>
      <c r="O780" s="47">
        <f t="shared" ref="O780:O798" si="175">L780+I780</f>
        <v>128146</v>
      </c>
      <c r="P780" s="47">
        <f t="shared" ref="P780:P798" si="176">M780+J780</f>
        <v>92898</v>
      </c>
      <c r="Q780" s="203">
        <f t="shared" ref="Q780:Q792" si="177">P780/O780*100</f>
        <v>72.493874174769402</v>
      </c>
    </row>
    <row r="781" spans="2:17" x14ac:dyDescent="0.2">
      <c r="B781" s="72">
        <f t="shared" si="163"/>
        <v>773</v>
      </c>
      <c r="C781" s="12"/>
      <c r="D781" s="12"/>
      <c r="E781" s="12"/>
      <c r="F781" s="52" t="s">
        <v>80</v>
      </c>
      <c r="G781" s="12">
        <v>610</v>
      </c>
      <c r="H781" s="12" t="s">
        <v>135</v>
      </c>
      <c r="I781" s="49">
        <v>23606</v>
      </c>
      <c r="J781" s="49">
        <v>23606</v>
      </c>
      <c r="K781" s="198">
        <f t="shared" si="174"/>
        <v>100</v>
      </c>
      <c r="L781" s="49"/>
      <c r="M781" s="49"/>
      <c r="N781" s="201"/>
      <c r="O781" s="49">
        <f t="shared" si="175"/>
        <v>23606</v>
      </c>
      <c r="P781" s="49">
        <f t="shared" si="176"/>
        <v>23606</v>
      </c>
      <c r="Q781" s="203">
        <f t="shared" si="177"/>
        <v>100</v>
      </c>
    </row>
    <row r="782" spans="2:17" x14ac:dyDescent="0.2">
      <c r="B782" s="72">
        <f t="shared" si="163"/>
        <v>774</v>
      </c>
      <c r="C782" s="12"/>
      <c r="D782" s="12"/>
      <c r="E782" s="12"/>
      <c r="F782" s="52" t="s">
        <v>80</v>
      </c>
      <c r="G782" s="12">
        <v>620</v>
      </c>
      <c r="H782" s="12" t="s">
        <v>130</v>
      </c>
      <c r="I782" s="49">
        <v>8900</v>
      </c>
      <c r="J782" s="49">
        <v>8900</v>
      </c>
      <c r="K782" s="198">
        <f t="shared" si="174"/>
        <v>100</v>
      </c>
      <c r="L782" s="49"/>
      <c r="M782" s="49"/>
      <c r="N782" s="201"/>
      <c r="O782" s="49">
        <f t="shared" si="175"/>
        <v>8900</v>
      </c>
      <c r="P782" s="49">
        <f t="shared" si="176"/>
        <v>8900</v>
      </c>
      <c r="Q782" s="203">
        <f t="shared" si="177"/>
        <v>100</v>
      </c>
    </row>
    <row r="783" spans="2:17" x14ac:dyDescent="0.2">
      <c r="B783" s="72">
        <f t="shared" si="163"/>
        <v>775</v>
      </c>
      <c r="C783" s="12"/>
      <c r="D783" s="12"/>
      <c r="E783" s="12"/>
      <c r="F783" s="52" t="s">
        <v>80</v>
      </c>
      <c r="G783" s="12">
        <v>630</v>
      </c>
      <c r="H783" s="12" t="s">
        <v>127</v>
      </c>
      <c r="I783" s="49">
        <f>I788+I787+I786+I785+I784</f>
        <v>6422</v>
      </c>
      <c r="J783" s="49">
        <f>J788+J787+J786+J785+J784</f>
        <v>6422</v>
      </c>
      <c r="K783" s="198">
        <f t="shared" si="174"/>
        <v>100</v>
      </c>
      <c r="L783" s="49">
        <f>L788+L787+L786+L785+L784</f>
        <v>0</v>
      </c>
      <c r="M783" s="49">
        <f>M788+M787+M786+M785+M784</f>
        <v>0</v>
      </c>
      <c r="N783" s="201"/>
      <c r="O783" s="49">
        <f t="shared" si="175"/>
        <v>6422</v>
      </c>
      <c r="P783" s="49">
        <f t="shared" si="176"/>
        <v>6422</v>
      </c>
      <c r="Q783" s="203">
        <f t="shared" si="177"/>
        <v>100</v>
      </c>
    </row>
    <row r="784" spans="2:17" x14ac:dyDescent="0.2">
      <c r="B784" s="72">
        <f t="shared" si="163"/>
        <v>776</v>
      </c>
      <c r="C784" s="4"/>
      <c r="D784" s="4"/>
      <c r="E784" s="4"/>
      <c r="F784" s="53" t="s">
        <v>80</v>
      </c>
      <c r="G784" s="4">
        <v>631</v>
      </c>
      <c r="H784" s="4" t="s">
        <v>133</v>
      </c>
      <c r="I784" s="23">
        <v>21</v>
      </c>
      <c r="J784" s="23">
        <v>21</v>
      </c>
      <c r="K784" s="198">
        <f t="shared" si="174"/>
        <v>100</v>
      </c>
      <c r="L784" s="23"/>
      <c r="M784" s="23"/>
      <c r="N784" s="201"/>
      <c r="O784" s="23">
        <f t="shared" si="175"/>
        <v>21</v>
      </c>
      <c r="P784" s="23">
        <f t="shared" si="176"/>
        <v>21</v>
      </c>
      <c r="Q784" s="203">
        <f t="shared" si="177"/>
        <v>100</v>
      </c>
    </row>
    <row r="785" spans="2:17" x14ac:dyDescent="0.2">
      <c r="B785" s="72">
        <f t="shared" si="163"/>
        <v>777</v>
      </c>
      <c r="C785" s="4"/>
      <c r="D785" s="4"/>
      <c r="E785" s="4"/>
      <c r="F785" s="53" t="s">
        <v>80</v>
      </c>
      <c r="G785" s="4">
        <v>632</v>
      </c>
      <c r="H785" s="4" t="s">
        <v>138</v>
      </c>
      <c r="I785" s="23">
        <v>3259</v>
      </c>
      <c r="J785" s="23">
        <v>3259</v>
      </c>
      <c r="K785" s="198">
        <f t="shared" si="174"/>
        <v>100</v>
      </c>
      <c r="L785" s="23"/>
      <c r="M785" s="23"/>
      <c r="N785" s="201"/>
      <c r="O785" s="23">
        <f t="shared" si="175"/>
        <v>3259</v>
      </c>
      <c r="P785" s="23">
        <f t="shared" si="176"/>
        <v>3259</v>
      </c>
      <c r="Q785" s="203">
        <f t="shared" si="177"/>
        <v>100</v>
      </c>
    </row>
    <row r="786" spans="2:17" x14ac:dyDescent="0.2">
      <c r="B786" s="72">
        <f t="shared" si="163"/>
        <v>778</v>
      </c>
      <c r="C786" s="4"/>
      <c r="D786" s="4"/>
      <c r="E786" s="4"/>
      <c r="F786" s="53" t="s">
        <v>80</v>
      </c>
      <c r="G786" s="4">
        <v>633</v>
      </c>
      <c r="H786" s="4" t="s">
        <v>131</v>
      </c>
      <c r="I786" s="23">
        <v>1240</v>
      </c>
      <c r="J786" s="23">
        <v>1240</v>
      </c>
      <c r="K786" s="198">
        <f t="shared" si="174"/>
        <v>100</v>
      </c>
      <c r="L786" s="23"/>
      <c r="M786" s="23"/>
      <c r="N786" s="201"/>
      <c r="O786" s="23">
        <f t="shared" si="175"/>
        <v>1240</v>
      </c>
      <c r="P786" s="23">
        <f t="shared" si="176"/>
        <v>1240</v>
      </c>
      <c r="Q786" s="203">
        <f t="shared" si="177"/>
        <v>100</v>
      </c>
    </row>
    <row r="787" spans="2:17" x14ac:dyDescent="0.2">
      <c r="B787" s="72">
        <f t="shared" si="163"/>
        <v>779</v>
      </c>
      <c r="C787" s="4"/>
      <c r="D787" s="4"/>
      <c r="E787" s="4"/>
      <c r="F787" s="53" t="s">
        <v>80</v>
      </c>
      <c r="G787" s="4">
        <v>635</v>
      </c>
      <c r="H787" s="4" t="s">
        <v>137</v>
      </c>
      <c r="I787" s="23">
        <f>1560-510</f>
        <v>1050</v>
      </c>
      <c r="J787" s="23">
        <v>1050</v>
      </c>
      <c r="K787" s="198">
        <f t="shared" si="174"/>
        <v>100</v>
      </c>
      <c r="L787" s="23"/>
      <c r="M787" s="23"/>
      <c r="N787" s="201"/>
      <c r="O787" s="23">
        <f t="shared" si="175"/>
        <v>1050</v>
      </c>
      <c r="P787" s="23">
        <f t="shared" si="176"/>
        <v>1050</v>
      </c>
      <c r="Q787" s="203">
        <f t="shared" si="177"/>
        <v>100</v>
      </c>
    </row>
    <row r="788" spans="2:17" x14ac:dyDescent="0.2">
      <c r="B788" s="72">
        <f t="shared" si="163"/>
        <v>780</v>
      </c>
      <c r="C788" s="4"/>
      <c r="D788" s="4"/>
      <c r="E788" s="4"/>
      <c r="F788" s="53" t="s">
        <v>80</v>
      </c>
      <c r="G788" s="4">
        <v>637</v>
      </c>
      <c r="H788" s="4" t="s">
        <v>128</v>
      </c>
      <c r="I788" s="23">
        <v>852</v>
      </c>
      <c r="J788" s="23">
        <v>852</v>
      </c>
      <c r="K788" s="198">
        <f t="shared" si="174"/>
        <v>100</v>
      </c>
      <c r="L788" s="23"/>
      <c r="M788" s="23"/>
      <c r="N788" s="201"/>
      <c r="O788" s="23">
        <f t="shared" si="175"/>
        <v>852</v>
      </c>
      <c r="P788" s="23">
        <f t="shared" si="176"/>
        <v>852</v>
      </c>
      <c r="Q788" s="203">
        <f t="shared" si="177"/>
        <v>100</v>
      </c>
    </row>
    <row r="789" spans="2:17" x14ac:dyDescent="0.2">
      <c r="B789" s="72">
        <f t="shared" si="163"/>
        <v>781</v>
      </c>
      <c r="C789" s="12"/>
      <c r="D789" s="12"/>
      <c r="E789" s="12"/>
      <c r="F789" s="52" t="s">
        <v>80</v>
      </c>
      <c r="G789" s="12">
        <v>640</v>
      </c>
      <c r="H789" s="12" t="s">
        <v>134</v>
      </c>
      <c r="I789" s="49">
        <v>118</v>
      </c>
      <c r="J789" s="49">
        <v>118</v>
      </c>
      <c r="K789" s="198">
        <f t="shared" si="174"/>
        <v>100</v>
      </c>
      <c r="L789" s="49"/>
      <c r="M789" s="49"/>
      <c r="N789" s="201"/>
      <c r="O789" s="49">
        <f t="shared" si="175"/>
        <v>118</v>
      </c>
      <c r="P789" s="49">
        <f t="shared" si="176"/>
        <v>118</v>
      </c>
      <c r="Q789" s="203">
        <f t="shared" si="177"/>
        <v>100</v>
      </c>
    </row>
    <row r="790" spans="2:17" x14ac:dyDescent="0.2">
      <c r="B790" s="72">
        <f t="shared" si="163"/>
        <v>782</v>
      </c>
      <c r="C790" s="12"/>
      <c r="D790" s="12"/>
      <c r="E790" s="12"/>
      <c r="F790" s="52" t="s">
        <v>270</v>
      </c>
      <c r="G790" s="12">
        <v>610</v>
      </c>
      <c r="H790" s="12" t="s">
        <v>135</v>
      </c>
      <c r="I790" s="49">
        <v>28925</v>
      </c>
      <c r="J790" s="49">
        <v>28925</v>
      </c>
      <c r="K790" s="198">
        <f t="shared" si="174"/>
        <v>100</v>
      </c>
      <c r="L790" s="49"/>
      <c r="M790" s="49"/>
      <c r="N790" s="201"/>
      <c r="O790" s="49">
        <f t="shared" si="175"/>
        <v>28925</v>
      </c>
      <c r="P790" s="49">
        <f t="shared" si="176"/>
        <v>28925</v>
      </c>
      <c r="Q790" s="203">
        <f t="shared" si="177"/>
        <v>100</v>
      </c>
    </row>
    <row r="791" spans="2:17" x14ac:dyDescent="0.2">
      <c r="B791" s="72">
        <f t="shared" si="163"/>
        <v>783</v>
      </c>
      <c r="C791" s="12"/>
      <c r="D791" s="12"/>
      <c r="E791" s="12"/>
      <c r="F791" s="52" t="s">
        <v>270</v>
      </c>
      <c r="G791" s="12">
        <v>620</v>
      </c>
      <c r="H791" s="12" t="s">
        <v>130</v>
      </c>
      <c r="I791" s="49">
        <v>10876</v>
      </c>
      <c r="J791" s="49">
        <v>10876</v>
      </c>
      <c r="K791" s="198">
        <f t="shared" si="174"/>
        <v>100</v>
      </c>
      <c r="L791" s="49"/>
      <c r="M791" s="49"/>
      <c r="N791" s="201"/>
      <c r="O791" s="49">
        <f t="shared" si="175"/>
        <v>10876</v>
      </c>
      <c r="P791" s="49">
        <f t="shared" si="176"/>
        <v>10876</v>
      </c>
      <c r="Q791" s="203">
        <f t="shared" si="177"/>
        <v>100</v>
      </c>
    </row>
    <row r="792" spans="2:17" x14ac:dyDescent="0.2">
      <c r="B792" s="72">
        <f t="shared" si="163"/>
        <v>784</v>
      </c>
      <c r="C792" s="12"/>
      <c r="D792" s="12"/>
      <c r="E792" s="12"/>
      <c r="F792" s="52" t="s">
        <v>270</v>
      </c>
      <c r="G792" s="12">
        <v>630</v>
      </c>
      <c r="H792" s="12" t="s">
        <v>127</v>
      </c>
      <c r="I792" s="49">
        <f>I796+I795+I794+I793</f>
        <v>8849</v>
      </c>
      <c r="J792" s="49">
        <f>J796+J795+J794+J793</f>
        <v>8813</v>
      </c>
      <c r="K792" s="198">
        <f t="shared" si="174"/>
        <v>99.593174369985306</v>
      </c>
      <c r="L792" s="49">
        <f>L796+L795+L794+L793</f>
        <v>0</v>
      </c>
      <c r="M792" s="49">
        <f>M796+M795+M794+M793</f>
        <v>0</v>
      </c>
      <c r="N792" s="201"/>
      <c r="O792" s="49">
        <f t="shared" si="175"/>
        <v>8849</v>
      </c>
      <c r="P792" s="49">
        <f t="shared" si="176"/>
        <v>8813</v>
      </c>
      <c r="Q792" s="203">
        <f t="shared" si="177"/>
        <v>99.593174369985306</v>
      </c>
    </row>
    <row r="793" spans="2:17" x14ac:dyDescent="0.2">
      <c r="B793" s="72">
        <f t="shared" si="163"/>
        <v>785</v>
      </c>
      <c r="C793" s="4"/>
      <c r="D793" s="4"/>
      <c r="E793" s="4"/>
      <c r="F793" s="53" t="s">
        <v>270</v>
      </c>
      <c r="G793" s="4">
        <v>632</v>
      </c>
      <c r="H793" s="4" t="s">
        <v>138</v>
      </c>
      <c r="I793" s="23">
        <f>4147+131</f>
        <v>4278</v>
      </c>
      <c r="J793" s="23">
        <v>4278</v>
      </c>
      <c r="K793" s="198">
        <f>J793/I793*100</f>
        <v>100</v>
      </c>
      <c r="L793" s="23"/>
      <c r="M793" s="23"/>
      <c r="N793" s="201"/>
      <c r="O793" s="23">
        <f t="shared" si="175"/>
        <v>4278</v>
      </c>
      <c r="P793" s="23">
        <f t="shared" si="176"/>
        <v>4278</v>
      </c>
      <c r="Q793" s="203">
        <f t="shared" ref="Q793:Q813" si="178">P793/O793*100</f>
        <v>100</v>
      </c>
    </row>
    <row r="794" spans="2:17" x14ac:dyDescent="0.2">
      <c r="B794" s="72">
        <f t="shared" si="163"/>
        <v>786</v>
      </c>
      <c r="C794" s="4"/>
      <c r="D794" s="4"/>
      <c r="E794" s="4"/>
      <c r="F794" s="53" t="s">
        <v>270</v>
      </c>
      <c r="G794" s="4">
        <v>633</v>
      </c>
      <c r="H794" s="4" t="s">
        <v>131</v>
      </c>
      <c r="I794" s="23">
        <f>1515-30</f>
        <v>1485</v>
      </c>
      <c r="J794" s="23">
        <v>1485</v>
      </c>
      <c r="K794" s="198">
        <f>J794/I794*100</f>
        <v>100</v>
      </c>
      <c r="L794" s="23"/>
      <c r="M794" s="23"/>
      <c r="N794" s="201"/>
      <c r="O794" s="23">
        <f t="shared" si="175"/>
        <v>1485</v>
      </c>
      <c r="P794" s="23">
        <f t="shared" si="176"/>
        <v>1485</v>
      </c>
      <c r="Q794" s="203">
        <f t="shared" si="178"/>
        <v>100</v>
      </c>
    </row>
    <row r="795" spans="2:17" x14ac:dyDescent="0.2">
      <c r="B795" s="72">
        <f t="shared" si="163"/>
        <v>787</v>
      </c>
      <c r="C795" s="4"/>
      <c r="D795" s="4"/>
      <c r="E795" s="4"/>
      <c r="F795" s="53" t="s">
        <v>270</v>
      </c>
      <c r="G795" s="4">
        <v>635</v>
      </c>
      <c r="H795" s="4" t="s">
        <v>137</v>
      </c>
      <c r="I795" s="23">
        <v>1910</v>
      </c>
      <c r="J795" s="23">
        <v>1910</v>
      </c>
      <c r="K795" s="198">
        <f>J795/I795*100</f>
        <v>100</v>
      </c>
      <c r="L795" s="23"/>
      <c r="M795" s="23"/>
      <c r="N795" s="201"/>
      <c r="O795" s="23">
        <f t="shared" si="175"/>
        <v>1910</v>
      </c>
      <c r="P795" s="23">
        <f t="shared" si="176"/>
        <v>1910</v>
      </c>
      <c r="Q795" s="203">
        <f t="shared" si="178"/>
        <v>100</v>
      </c>
    </row>
    <row r="796" spans="2:17" x14ac:dyDescent="0.2">
      <c r="B796" s="72">
        <f t="shared" si="163"/>
        <v>788</v>
      </c>
      <c r="C796" s="4"/>
      <c r="D796" s="4"/>
      <c r="E796" s="4"/>
      <c r="F796" s="53" t="s">
        <v>270</v>
      </c>
      <c r="G796" s="4">
        <v>637</v>
      </c>
      <c r="H796" s="4" t="s">
        <v>128</v>
      </c>
      <c r="I796" s="23">
        <f>1036+140</f>
        <v>1176</v>
      </c>
      <c r="J796" s="23">
        <v>1140</v>
      </c>
      <c r="K796" s="198">
        <f>J796/I796*100</f>
        <v>96.938775510204081</v>
      </c>
      <c r="L796" s="23"/>
      <c r="M796" s="23"/>
      <c r="N796" s="201"/>
      <c r="O796" s="23">
        <f t="shared" si="175"/>
        <v>1176</v>
      </c>
      <c r="P796" s="23">
        <f t="shared" si="176"/>
        <v>1140</v>
      </c>
      <c r="Q796" s="203">
        <f t="shared" si="178"/>
        <v>96.938775510204081</v>
      </c>
    </row>
    <row r="797" spans="2:17" x14ac:dyDescent="0.2">
      <c r="B797" s="72">
        <f t="shared" ref="B797:B802" si="179">B796+1</f>
        <v>789</v>
      </c>
      <c r="C797" s="12"/>
      <c r="D797" s="12"/>
      <c r="E797" s="12"/>
      <c r="F797" s="52" t="s">
        <v>270</v>
      </c>
      <c r="G797" s="12">
        <v>640</v>
      </c>
      <c r="H797" s="12" t="s">
        <v>134</v>
      </c>
      <c r="I797" s="49">
        <f>150+300</f>
        <v>450</v>
      </c>
      <c r="J797" s="49">
        <v>450</v>
      </c>
      <c r="K797" s="198">
        <f>J797/I797*100</f>
        <v>100</v>
      </c>
      <c r="L797" s="49"/>
      <c r="M797" s="49"/>
      <c r="N797" s="201"/>
      <c r="O797" s="49">
        <f t="shared" si="175"/>
        <v>450</v>
      </c>
      <c r="P797" s="49">
        <f t="shared" si="176"/>
        <v>450</v>
      </c>
      <c r="Q797" s="203">
        <f t="shared" si="178"/>
        <v>100</v>
      </c>
    </row>
    <row r="798" spans="2:17" x14ac:dyDescent="0.2">
      <c r="B798" s="72">
        <f t="shared" si="179"/>
        <v>790</v>
      </c>
      <c r="C798" s="12"/>
      <c r="D798" s="12"/>
      <c r="E798" s="12"/>
      <c r="F798" s="52" t="s">
        <v>270</v>
      </c>
      <c r="G798" s="12">
        <v>710</v>
      </c>
      <c r="H798" s="12" t="s">
        <v>183</v>
      </c>
      <c r="I798" s="49">
        <f>I801</f>
        <v>0</v>
      </c>
      <c r="J798" s="49">
        <f>J801</f>
        <v>0</v>
      </c>
      <c r="K798" s="198"/>
      <c r="L798" s="49">
        <f>L801+L799</f>
        <v>40000</v>
      </c>
      <c r="M798" s="49">
        <f>M801+M799</f>
        <v>4788</v>
      </c>
      <c r="N798" s="201">
        <f t="shared" si="173"/>
        <v>11.97</v>
      </c>
      <c r="O798" s="49">
        <f t="shared" si="175"/>
        <v>40000</v>
      </c>
      <c r="P798" s="49">
        <f t="shared" si="176"/>
        <v>4788</v>
      </c>
      <c r="Q798" s="203">
        <f t="shared" si="178"/>
        <v>11.97</v>
      </c>
    </row>
    <row r="799" spans="2:17" x14ac:dyDescent="0.2">
      <c r="B799" s="72">
        <f t="shared" si="179"/>
        <v>791</v>
      </c>
      <c r="C799" s="12"/>
      <c r="D799" s="12"/>
      <c r="E799" s="12"/>
      <c r="F799" s="82" t="s">
        <v>270</v>
      </c>
      <c r="G799" s="83">
        <v>716</v>
      </c>
      <c r="H799" s="83" t="s">
        <v>0</v>
      </c>
      <c r="I799" s="84"/>
      <c r="J799" s="84"/>
      <c r="K799" s="198"/>
      <c r="L799" s="84">
        <f>L800</f>
        <v>5000</v>
      </c>
      <c r="M799" s="84">
        <f>M800</f>
        <v>4788</v>
      </c>
      <c r="N799" s="201">
        <f t="shared" si="173"/>
        <v>95.76</v>
      </c>
      <c r="O799" s="84">
        <f>I799+L799</f>
        <v>5000</v>
      </c>
      <c r="P799" s="84">
        <f>J799+M799</f>
        <v>4788</v>
      </c>
      <c r="Q799" s="203">
        <f t="shared" si="178"/>
        <v>95.76</v>
      </c>
    </row>
    <row r="800" spans="2:17" x14ac:dyDescent="0.2">
      <c r="B800" s="72">
        <f t="shared" si="179"/>
        <v>792</v>
      </c>
      <c r="C800" s="12"/>
      <c r="D800" s="12"/>
      <c r="E800" s="12"/>
      <c r="F800" s="53"/>
      <c r="G800" s="4"/>
      <c r="H800" s="4" t="s">
        <v>579</v>
      </c>
      <c r="I800" s="23"/>
      <c r="J800" s="23"/>
      <c r="K800" s="198"/>
      <c r="L800" s="23">
        <v>5000</v>
      </c>
      <c r="M800" s="23">
        <v>4788</v>
      </c>
      <c r="N800" s="201">
        <f t="shared" si="173"/>
        <v>95.76</v>
      </c>
      <c r="O800" s="23">
        <f>I800+L800</f>
        <v>5000</v>
      </c>
      <c r="P800" s="23">
        <f>J800+M800</f>
        <v>4788</v>
      </c>
      <c r="Q800" s="203">
        <f t="shared" si="178"/>
        <v>95.76</v>
      </c>
    </row>
    <row r="801" spans="2:17" x14ac:dyDescent="0.2">
      <c r="B801" s="72">
        <f t="shared" si="179"/>
        <v>793</v>
      </c>
      <c r="C801" s="4"/>
      <c r="D801" s="4"/>
      <c r="E801" s="4"/>
      <c r="F801" s="82" t="s">
        <v>270</v>
      </c>
      <c r="G801" s="83">
        <v>717</v>
      </c>
      <c r="H801" s="83" t="s">
        <v>193</v>
      </c>
      <c r="I801" s="84"/>
      <c r="J801" s="84"/>
      <c r="K801" s="198"/>
      <c r="L801" s="84">
        <f>L802</f>
        <v>35000</v>
      </c>
      <c r="M801" s="84">
        <f>M802</f>
        <v>0</v>
      </c>
      <c r="N801" s="201">
        <f t="shared" si="173"/>
        <v>0</v>
      </c>
      <c r="O801" s="84">
        <f>L801+I801</f>
        <v>35000</v>
      </c>
      <c r="P801" s="84">
        <f>M801+J801</f>
        <v>0</v>
      </c>
      <c r="Q801" s="203">
        <f t="shared" si="178"/>
        <v>0</v>
      </c>
    </row>
    <row r="802" spans="2:17" x14ac:dyDescent="0.2">
      <c r="B802" s="72">
        <f t="shared" si="179"/>
        <v>794</v>
      </c>
      <c r="C802" s="4"/>
      <c r="D802" s="4"/>
      <c r="E802" s="4"/>
      <c r="F802" s="64"/>
      <c r="G802" s="60"/>
      <c r="H802" s="60" t="s">
        <v>416</v>
      </c>
      <c r="I802" s="58"/>
      <c r="J802" s="58"/>
      <c r="K802" s="198"/>
      <c r="L802" s="58">
        <f>40000-5000</f>
        <v>35000</v>
      </c>
      <c r="M802" s="58"/>
      <c r="N802" s="201">
        <f t="shared" si="173"/>
        <v>0</v>
      </c>
      <c r="O802" s="58">
        <f>L802</f>
        <v>35000</v>
      </c>
      <c r="P802" s="58">
        <f>M802</f>
        <v>0</v>
      </c>
      <c r="Q802" s="203">
        <f t="shared" si="178"/>
        <v>0</v>
      </c>
    </row>
    <row r="803" spans="2:17" ht="15" x14ac:dyDescent="0.25">
      <c r="B803" s="72">
        <f t="shared" ref="B803:B851" si="180">B802+1</f>
        <v>795</v>
      </c>
      <c r="C803" s="15"/>
      <c r="D803" s="15"/>
      <c r="E803" s="15">
        <v>13</v>
      </c>
      <c r="F803" s="50"/>
      <c r="G803" s="15"/>
      <c r="H803" s="15" t="s">
        <v>254</v>
      </c>
      <c r="I803" s="47">
        <f>I804+I805+I806+I810+I811+I812+I813</f>
        <v>75331</v>
      </c>
      <c r="J803" s="47">
        <f>J804+J805+J806+J810+J811+J812+J813</f>
        <v>75331</v>
      </c>
      <c r="K803" s="198">
        <f t="shared" ref="K803:K813" si="181">J803/I803*100</f>
        <v>100</v>
      </c>
      <c r="L803" s="47">
        <v>0</v>
      </c>
      <c r="M803" s="47">
        <v>0</v>
      </c>
      <c r="N803" s="201"/>
      <c r="O803" s="47">
        <f t="shared" ref="O803:O839" si="182">L803+I803</f>
        <v>75331</v>
      </c>
      <c r="P803" s="47">
        <f t="shared" ref="P803:P839" si="183">M803+J803</f>
        <v>75331</v>
      </c>
      <c r="Q803" s="203">
        <f t="shared" si="178"/>
        <v>100</v>
      </c>
    </row>
    <row r="804" spans="2:17" x14ac:dyDescent="0.2">
      <c r="B804" s="72">
        <f t="shared" si="180"/>
        <v>796</v>
      </c>
      <c r="C804" s="12"/>
      <c r="D804" s="12"/>
      <c r="E804" s="12"/>
      <c r="F804" s="52" t="s">
        <v>80</v>
      </c>
      <c r="G804" s="12">
        <v>610</v>
      </c>
      <c r="H804" s="12" t="s">
        <v>135</v>
      </c>
      <c r="I804" s="49">
        <f>19666-1416-272</f>
        <v>17978</v>
      </c>
      <c r="J804" s="49">
        <v>17978</v>
      </c>
      <c r="K804" s="198">
        <f t="shared" si="181"/>
        <v>100</v>
      </c>
      <c r="L804" s="49"/>
      <c r="M804" s="49"/>
      <c r="N804" s="201"/>
      <c r="O804" s="49">
        <f t="shared" si="182"/>
        <v>17978</v>
      </c>
      <c r="P804" s="49">
        <f t="shared" si="183"/>
        <v>17978</v>
      </c>
      <c r="Q804" s="203">
        <f t="shared" si="178"/>
        <v>100</v>
      </c>
    </row>
    <row r="805" spans="2:17" x14ac:dyDescent="0.2">
      <c r="B805" s="72">
        <f t="shared" si="180"/>
        <v>797</v>
      </c>
      <c r="C805" s="12"/>
      <c r="D805" s="12"/>
      <c r="E805" s="12"/>
      <c r="F805" s="52" t="s">
        <v>80</v>
      </c>
      <c r="G805" s="12">
        <v>620</v>
      </c>
      <c r="H805" s="12" t="s">
        <v>130</v>
      </c>
      <c r="I805" s="49">
        <f>7142-1584+272</f>
        <v>5830</v>
      </c>
      <c r="J805" s="49">
        <v>5830</v>
      </c>
      <c r="K805" s="198">
        <f t="shared" si="181"/>
        <v>100</v>
      </c>
      <c r="L805" s="49"/>
      <c r="M805" s="49"/>
      <c r="N805" s="201"/>
      <c r="O805" s="49">
        <f t="shared" si="182"/>
        <v>5830</v>
      </c>
      <c r="P805" s="49">
        <f t="shared" si="183"/>
        <v>5830</v>
      </c>
      <c r="Q805" s="203">
        <f t="shared" si="178"/>
        <v>100</v>
      </c>
    </row>
    <row r="806" spans="2:17" x14ac:dyDescent="0.2">
      <c r="B806" s="72">
        <f t="shared" si="180"/>
        <v>798</v>
      </c>
      <c r="C806" s="12"/>
      <c r="D806" s="12"/>
      <c r="E806" s="12"/>
      <c r="F806" s="52" t="s">
        <v>80</v>
      </c>
      <c r="G806" s="12">
        <v>630</v>
      </c>
      <c r="H806" s="12" t="s">
        <v>127</v>
      </c>
      <c r="I806" s="49">
        <f>I809+I808+I807</f>
        <v>9661</v>
      </c>
      <c r="J806" s="49">
        <f>J809+J808+J807</f>
        <v>9663</v>
      </c>
      <c r="K806" s="198">
        <f t="shared" si="181"/>
        <v>100.0207017907049</v>
      </c>
      <c r="L806" s="49">
        <f>L809+L808+L807</f>
        <v>0</v>
      </c>
      <c r="M806" s="49">
        <f>M809+M808+M807</f>
        <v>0</v>
      </c>
      <c r="N806" s="201"/>
      <c r="O806" s="49">
        <f t="shared" si="182"/>
        <v>9661</v>
      </c>
      <c r="P806" s="49">
        <f t="shared" si="183"/>
        <v>9663</v>
      </c>
      <c r="Q806" s="203">
        <f t="shared" si="178"/>
        <v>100.0207017907049</v>
      </c>
    </row>
    <row r="807" spans="2:17" x14ac:dyDescent="0.2">
      <c r="B807" s="72">
        <f t="shared" si="180"/>
        <v>799</v>
      </c>
      <c r="C807" s="4"/>
      <c r="D807" s="4"/>
      <c r="E807" s="4"/>
      <c r="F807" s="53" t="s">
        <v>80</v>
      </c>
      <c r="G807" s="4">
        <v>632</v>
      </c>
      <c r="H807" s="4" t="s">
        <v>138</v>
      </c>
      <c r="I807" s="23">
        <f>2190+2000</f>
        <v>4190</v>
      </c>
      <c r="J807" s="23">
        <v>4190</v>
      </c>
      <c r="K807" s="198">
        <f t="shared" si="181"/>
        <v>100</v>
      </c>
      <c r="L807" s="23"/>
      <c r="M807" s="23"/>
      <c r="N807" s="201"/>
      <c r="O807" s="23">
        <f t="shared" si="182"/>
        <v>4190</v>
      </c>
      <c r="P807" s="23">
        <f t="shared" si="183"/>
        <v>4190</v>
      </c>
      <c r="Q807" s="203">
        <f t="shared" si="178"/>
        <v>100</v>
      </c>
    </row>
    <row r="808" spans="2:17" x14ac:dyDescent="0.2">
      <c r="B808" s="72">
        <f t="shared" si="180"/>
        <v>800</v>
      </c>
      <c r="C808" s="4"/>
      <c r="D808" s="4"/>
      <c r="E808" s="4"/>
      <c r="F808" s="53" t="s">
        <v>80</v>
      </c>
      <c r="G808" s="4">
        <v>633</v>
      </c>
      <c r="H808" s="4" t="s">
        <v>131</v>
      </c>
      <c r="I808" s="23">
        <v>3030</v>
      </c>
      <c r="J808" s="23">
        <v>3030</v>
      </c>
      <c r="K808" s="198">
        <f t="shared" si="181"/>
        <v>100</v>
      </c>
      <c r="L808" s="23"/>
      <c r="M808" s="23"/>
      <c r="N808" s="201"/>
      <c r="O808" s="23">
        <f t="shared" si="182"/>
        <v>3030</v>
      </c>
      <c r="P808" s="23">
        <f t="shared" si="183"/>
        <v>3030</v>
      </c>
      <c r="Q808" s="203">
        <f t="shared" si="178"/>
        <v>100</v>
      </c>
    </row>
    <row r="809" spans="2:17" x14ac:dyDescent="0.2">
      <c r="B809" s="72">
        <f t="shared" si="180"/>
        <v>801</v>
      </c>
      <c r="C809" s="4"/>
      <c r="D809" s="4"/>
      <c r="E809" s="4"/>
      <c r="F809" s="53" t="s">
        <v>80</v>
      </c>
      <c r="G809" s="4">
        <v>637</v>
      </c>
      <c r="H809" s="4" t="s">
        <v>128</v>
      </c>
      <c r="I809" s="23">
        <f>1491+950</f>
        <v>2441</v>
      </c>
      <c r="J809" s="23">
        <v>2443</v>
      </c>
      <c r="K809" s="198">
        <f t="shared" si="181"/>
        <v>100.08193363375666</v>
      </c>
      <c r="L809" s="23"/>
      <c r="M809" s="23"/>
      <c r="N809" s="201"/>
      <c r="O809" s="23">
        <f t="shared" si="182"/>
        <v>2441</v>
      </c>
      <c r="P809" s="23">
        <f t="shared" si="183"/>
        <v>2443</v>
      </c>
      <c r="Q809" s="203">
        <f t="shared" si="178"/>
        <v>100.08193363375666</v>
      </c>
    </row>
    <row r="810" spans="2:17" x14ac:dyDescent="0.2">
      <c r="B810" s="72">
        <f t="shared" si="180"/>
        <v>802</v>
      </c>
      <c r="C810" s="12"/>
      <c r="D810" s="12"/>
      <c r="E810" s="12"/>
      <c r="F810" s="52" t="s">
        <v>80</v>
      </c>
      <c r="G810" s="12">
        <v>640</v>
      </c>
      <c r="H810" s="12" t="s">
        <v>134</v>
      </c>
      <c r="I810" s="49">
        <f>20+50</f>
        <v>70</v>
      </c>
      <c r="J810" s="49">
        <v>68</v>
      </c>
      <c r="K810" s="198">
        <f t="shared" si="181"/>
        <v>97.142857142857139</v>
      </c>
      <c r="L810" s="49"/>
      <c r="M810" s="49"/>
      <c r="N810" s="201"/>
      <c r="O810" s="49">
        <f t="shared" si="182"/>
        <v>70</v>
      </c>
      <c r="P810" s="49">
        <f t="shared" si="183"/>
        <v>68</v>
      </c>
      <c r="Q810" s="203">
        <f t="shared" si="178"/>
        <v>97.142857142857139</v>
      </c>
    </row>
    <row r="811" spans="2:17" x14ac:dyDescent="0.2">
      <c r="B811" s="72">
        <f t="shared" si="180"/>
        <v>803</v>
      </c>
      <c r="C811" s="12"/>
      <c r="D811" s="12"/>
      <c r="E811" s="12"/>
      <c r="F811" s="52" t="s">
        <v>270</v>
      </c>
      <c r="G811" s="12">
        <v>610</v>
      </c>
      <c r="H811" s="12" t="s">
        <v>135</v>
      </c>
      <c r="I811" s="49">
        <f>24102-2230+630</f>
        <v>22502</v>
      </c>
      <c r="J811" s="49">
        <v>22502</v>
      </c>
      <c r="K811" s="198">
        <f t="shared" si="181"/>
        <v>100</v>
      </c>
      <c r="L811" s="49"/>
      <c r="M811" s="49"/>
      <c r="N811" s="201"/>
      <c r="O811" s="49">
        <f t="shared" si="182"/>
        <v>22502</v>
      </c>
      <c r="P811" s="49">
        <f t="shared" si="183"/>
        <v>22502</v>
      </c>
      <c r="Q811" s="203">
        <f t="shared" si="178"/>
        <v>100</v>
      </c>
    </row>
    <row r="812" spans="2:17" x14ac:dyDescent="0.2">
      <c r="B812" s="72">
        <f t="shared" si="180"/>
        <v>804</v>
      </c>
      <c r="C812" s="12"/>
      <c r="D812" s="12"/>
      <c r="E812" s="12"/>
      <c r="F812" s="52" t="s">
        <v>270</v>
      </c>
      <c r="G812" s="12">
        <v>620</v>
      </c>
      <c r="H812" s="12" t="s">
        <v>130</v>
      </c>
      <c r="I812" s="49">
        <f>8730-770-630</f>
        <v>7330</v>
      </c>
      <c r="J812" s="49">
        <v>7330</v>
      </c>
      <c r="K812" s="198">
        <f t="shared" si="181"/>
        <v>100</v>
      </c>
      <c r="L812" s="49"/>
      <c r="M812" s="49"/>
      <c r="N812" s="201"/>
      <c r="O812" s="49">
        <f t="shared" si="182"/>
        <v>7330</v>
      </c>
      <c r="P812" s="49">
        <f t="shared" si="183"/>
        <v>7330</v>
      </c>
      <c r="Q812" s="203">
        <f t="shared" si="178"/>
        <v>100</v>
      </c>
    </row>
    <row r="813" spans="2:17" x14ac:dyDescent="0.2">
      <c r="B813" s="72">
        <f t="shared" si="180"/>
        <v>805</v>
      </c>
      <c r="C813" s="12"/>
      <c r="D813" s="12"/>
      <c r="E813" s="12"/>
      <c r="F813" s="52" t="s">
        <v>270</v>
      </c>
      <c r="G813" s="12">
        <v>630</v>
      </c>
      <c r="H813" s="12" t="s">
        <v>127</v>
      </c>
      <c r="I813" s="49">
        <f>I817+I816+I815+I814</f>
        <v>11960</v>
      </c>
      <c r="J813" s="49">
        <f>J817+J816+J815+J814</f>
        <v>11960</v>
      </c>
      <c r="K813" s="198">
        <f t="shared" si="181"/>
        <v>100</v>
      </c>
      <c r="L813" s="49">
        <v>0</v>
      </c>
      <c r="M813" s="49">
        <v>0</v>
      </c>
      <c r="N813" s="201"/>
      <c r="O813" s="49">
        <f t="shared" si="182"/>
        <v>11960</v>
      </c>
      <c r="P813" s="49">
        <f t="shared" si="183"/>
        <v>11960</v>
      </c>
      <c r="Q813" s="203">
        <f t="shared" si="178"/>
        <v>100</v>
      </c>
    </row>
    <row r="814" spans="2:17" x14ac:dyDescent="0.2">
      <c r="B814" s="72">
        <f t="shared" si="180"/>
        <v>806</v>
      </c>
      <c r="C814" s="4"/>
      <c r="D814" s="4"/>
      <c r="E814" s="4"/>
      <c r="F814" s="53" t="s">
        <v>270</v>
      </c>
      <c r="G814" s="4">
        <v>632</v>
      </c>
      <c r="H814" s="4" t="s">
        <v>138</v>
      </c>
      <c r="I814" s="23">
        <f>2675+2000</f>
        <v>4675</v>
      </c>
      <c r="J814" s="23">
        <v>4675</v>
      </c>
      <c r="K814" s="198">
        <f>J814/I814*100</f>
        <v>100</v>
      </c>
      <c r="L814" s="23"/>
      <c r="M814" s="23"/>
      <c r="N814" s="201"/>
      <c r="O814" s="23">
        <f t="shared" si="182"/>
        <v>4675</v>
      </c>
      <c r="P814" s="23">
        <f t="shared" si="183"/>
        <v>4675</v>
      </c>
      <c r="Q814" s="203">
        <f>P814/O814*100</f>
        <v>100</v>
      </c>
    </row>
    <row r="815" spans="2:17" x14ac:dyDescent="0.2">
      <c r="B815" s="72">
        <f t="shared" si="180"/>
        <v>807</v>
      </c>
      <c r="C815" s="4"/>
      <c r="D815" s="4"/>
      <c r="E815" s="4"/>
      <c r="F815" s="53" t="s">
        <v>270</v>
      </c>
      <c r="G815" s="4">
        <v>633</v>
      </c>
      <c r="H815" s="4" t="s">
        <v>131</v>
      </c>
      <c r="I815" s="23">
        <f>3754+512+3000-2568</f>
        <v>4698</v>
      </c>
      <c r="J815" s="23">
        <v>4698</v>
      </c>
      <c r="K815" s="198">
        <f>J815/I815*100</f>
        <v>100</v>
      </c>
      <c r="L815" s="23"/>
      <c r="M815" s="23"/>
      <c r="N815" s="201"/>
      <c r="O815" s="23">
        <f t="shared" si="182"/>
        <v>4698</v>
      </c>
      <c r="P815" s="23">
        <f t="shared" si="183"/>
        <v>4698</v>
      </c>
      <c r="Q815" s="203">
        <f>P815/O815*100</f>
        <v>100</v>
      </c>
    </row>
    <row r="816" spans="2:17" x14ac:dyDescent="0.2">
      <c r="B816" s="72">
        <f t="shared" si="180"/>
        <v>808</v>
      </c>
      <c r="C816" s="4"/>
      <c r="D816" s="4"/>
      <c r="E816" s="4"/>
      <c r="F816" s="53" t="s">
        <v>270</v>
      </c>
      <c r="G816" s="4">
        <v>635</v>
      </c>
      <c r="H816" s="4" t="s">
        <v>137</v>
      </c>
      <c r="I816" s="23">
        <v>82</v>
      </c>
      <c r="J816" s="23">
        <v>82</v>
      </c>
      <c r="K816" s="198">
        <f>J816/I816*100</f>
        <v>100</v>
      </c>
      <c r="L816" s="23"/>
      <c r="M816" s="23"/>
      <c r="N816" s="201"/>
      <c r="O816" s="23">
        <f t="shared" si="182"/>
        <v>82</v>
      </c>
      <c r="P816" s="23">
        <f t="shared" si="183"/>
        <v>82</v>
      </c>
      <c r="Q816" s="203">
        <f>P816/O816*100</f>
        <v>100</v>
      </c>
    </row>
    <row r="817" spans="2:17" x14ac:dyDescent="0.2">
      <c r="B817" s="72">
        <f t="shared" si="180"/>
        <v>809</v>
      </c>
      <c r="C817" s="4"/>
      <c r="D817" s="4"/>
      <c r="E817" s="4"/>
      <c r="F817" s="53" t="s">
        <v>270</v>
      </c>
      <c r="G817" s="4">
        <v>637</v>
      </c>
      <c r="H817" s="4" t="s">
        <v>128</v>
      </c>
      <c r="I817" s="23">
        <f>1824+681</f>
        <v>2505</v>
      </c>
      <c r="J817" s="23">
        <v>2505</v>
      </c>
      <c r="K817" s="198">
        <f>J817/I817*100</f>
        <v>100</v>
      </c>
      <c r="L817" s="23"/>
      <c r="M817" s="23"/>
      <c r="N817" s="201"/>
      <c r="O817" s="23">
        <f t="shared" si="182"/>
        <v>2505</v>
      </c>
      <c r="P817" s="23">
        <f t="shared" si="183"/>
        <v>2505</v>
      </c>
      <c r="Q817" s="203">
        <f>P817/O817*100</f>
        <v>100</v>
      </c>
    </row>
    <row r="818" spans="2:17" ht="15" x14ac:dyDescent="0.2">
      <c r="B818" s="72">
        <f t="shared" si="180"/>
        <v>810</v>
      </c>
      <c r="C818" s="179">
        <v>5</v>
      </c>
      <c r="D818" s="257" t="s">
        <v>126</v>
      </c>
      <c r="E818" s="253"/>
      <c r="F818" s="253"/>
      <c r="G818" s="253"/>
      <c r="H818" s="254"/>
      <c r="I818" s="45">
        <f>I819+I822+I828+I840</f>
        <v>286605</v>
      </c>
      <c r="J818" s="45">
        <f>J819+J822+J828+J840</f>
        <v>274990</v>
      </c>
      <c r="K818" s="198">
        <f t="shared" ref="K818:K838" si="184">J818/I818*100</f>
        <v>95.94738403028559</v>
      </c>
      <c r="L818" s="45">
        <f>L819+L822+L828+L840</f>
        <v>0</v>
      </c>
      <c r="M818" s="45">
        <f>M819+M822+M828+M840</f>
        <v>0</v>
      </c>
      <c r="N818" s="203"/>
      <c r="O818" s="45">
        <f t="shared" si="182"/>
        <v>286605</v>
      </c>
      <c r="P818" s="45">
        <f t="shared" si="183"/>
        <v>274990</v>
      </c>
      <c r="Q818" s="203">
        <f t="shared" ref="Q818:Q838" si="185">P818/O818*100</f>
        <v>95.94738403028559</v>
      </c>
    </row>
    <row r="819" spans="2:17" x14ac:dyDescent="0.2">
      <c r="B819" s="72">
        <f t="shared" si="180"/>
        <v>811</v>
      </c>
      <c r="C819" s="11"/>
      <c r="D819" s="11"/>
      <c r="E819" s="11"/>
      <c r="F819" s="51"/>
      <c r="G819" s="11"/>
      <c r="H819" s="11" t="s">
        <v>333</v>
      </c>
      <c r="I819" s="48">
        <f>I820</f>
        <v>3150</v>
      </c>
      <c r="J819" s="48">
        <f>J820</f>
        <v>2358</v>
      </c>
      <c r="K819" s="198">
        <f t="shared" si="184"/>
        <v>74.857142857142861</v>
      </c>
      <c r="L819" s="48">
        <f>L820</f>
        <v>0</v>
      </c>
      <c r="M819" s="48">
        <f>M820</f>
        <v>0</v>
      </c>
      <c r="N819" s="201"/>
      <c r="O819" s="48">
        <f t="shared" si="182"/>
        <v>3150</v>
      </c>
      <c r="P819" s="48">
        <f t="shared" si="183"/>
        <v>2358</v>
      </c>
      <c r="Q819" s="203">
        <f t="shared" si="185"/>
        <v>74.857142857142861</v>
      </c>
    </row>
    <row r="820" spans="2:17" x14ac:dyDescent="0.2">
      <c r="B820" s="72">
        <f t="shared" si="180"/>
        <v>812</v>
      </c>
      <c r="C820" s="12"/>
      <c r="D820" s="12"/>
      <c r="E820" s="12"/>
      <c r="F820" s="52" t="s">
        <v>125</v>
      </c>
      <c r="G820" s="12">
        <v>630</v>
      </c>
      <c r="H820" s="12" t="s">
        <v>127</v>
      </c>
      <c r="I820" s="49">
        <f>I821</f>
        <v>3150</v>
      </c>
      <c r="J820" s="49">
        <f>J821</f>
        <v>2358</v>
      </c>
      <c r="K820" s="198">
        <f t="shared" si="184"/>
        <v>74.857142857142861</v>
      </c>
      <c r="L820" s="49">
        <f>L821</f>
        <v>0</v>
      </c>
      <c r="M820" s="49">
        <f>M821</f>
        <v>0</v>
      </c>
      <c r="N820" s="201"/>
      <c r="O820" s="49">
        <f t="shared" si="182"/>
        <v>3150</v>
      </c>
      <c r="P820" s="49">
        <f t="shared" si="183"/>
        <v>2358</v>
      </c>
      <c r="Q820" s="203">
        <f t="shared" si="185"/>
        <v>74.857142857142861</v>
      </c>
    </row>
    <row r="821" spans="2:17" x14ac:dyDescent="0.2">
      <c r="B821" s="72">
        <f t="shared" si="180"/>
        <v>813</v>
      </c>
      <c r="C821" s="4"/>
      <c r="D821" s="4"/>
      <c r="E821" s="4"/>
      <c r="F821" s="53" t="s">
        <v>125</v>
      </c>
      <c r="G821" s="4">
        <v>633</v>
      </c>
      <c r="H821" s="4" t="s">
        <v>131</v>
      </c>
      <c r="I821" s="23">
        <v>3150</v>
      </c>
      <c r="J821" s="23">
        <v>2358</v>
      </c>
      <c r="K821" s="198">
        <f t="shared" si="184"/>
        <v>74.857142857142861</v>
      </c>
      <c r="L821" s="23"/>
      <c r="M821" s="23"/>
      <c r="N821" s="201"/>
      <c r="O821" s="23">
        <f t="shared" si="182"/>
        <v>3150</v>
      </c>
      <c r="P821" s="23">
        <f t="shared" si="183"/>
        <v>2358</v>
      </c>
      <c r="Q821" s="203">
        <f t="shared" si="185"/>
        <v>74.857142857142861</v>
      </c>
    </row>
    <row r="822" spans="2:17" x14ac:dyDescent="0.2">
      <c r="B822" s="72">
        <f t="shared" si="180"/>
        <v>814</v>
      </c>
      <c r="C822" s="11"/>
      <c r="D822" s="11"/>
      <c r="E822" s="11"/>
      <c r="F822" s="51"/>
      <c r="G822" s="11"/>
      <c r="H822" s="11" t="s">
        <v>334</v>
      </c>
      <c r="I822" s="48">
        <f>I823</f>
        <v>22000</v>
      </c>
      <c r="J822" s="48">
        <f>J823</f>
        <v>22000</v>
      </c>
      <c r="K822" s="198">
        <f t="shared" si="184"/>
        <v>100</v>
      </c>
      <c r="L822" s="48">
        <f>L823</f>
        <v>0</v>
      </c>
      <c r="M822" s="48">
        <f>M823</f>
        <v>0</v>
      </c>
      <c r="N822" s="201"/>
      <c r="O822" s="48">
        <f t="shared" si="182"/>
        <v>22000</v>
      </c>
      <c r="P822" s="48">
        <f t="shared" si="183"/>
        <v>22000</v>
      </c>
      <c r="Q822" s="203">
        <f t="shared" si="185"/>
        <v>100</v>
      </c>
    </row>
    <row r="823" spans="2:17" x14ac:dyDescent="0.2">
      <c r="B823" s="72">
        <f t="shared" si="180"/>
        <v>815</v>
      </c>
      <c r="C823" s="12"/>
      <c r="D823" s="12"/>
      <c r="E823" s="12"/>
      <c r="F823" s="52" t="s">
        <v>125</v>
      </c>
      <c r="G823" s="12">
        <v>640</v>
      </c>
      <c r="H823" s="12" t="s">
        <v>134</v>
      </c>
      <c r="I823" s="49">
        <f>6000+I825+I826+I827</f>
        <v>22000</v>
      </c>
      <c r="J823" s="49">
        <f>SUM(J824:J827)</f>
        <v>22000</v>
      </c>
      <c r="K823" s="198">
        <f t="shared" si="184"/>
        <v>100</v>
      </c>
      <c r="L823" s="49"/>
      <c r="M823" s="49"/>
      <c r="N823" s="201"/>
      <c r="O823" s="49">
        <f t="shared" si="182"/>
        <v>22000</v>
      </c>
      <c r="P823" s="49">
        <f t="shared" si="183"/>
        <v>22000</v>
      </c>
      <c r="Q823" s="203">
        <f t="shared" si="185"/>
        <v>100</v>
      </c>
    </row>
    <row r="824" spans="2:17" x14ac:dyDescent="0.2">
      <c r="B824" s="72">
        <f t="shared" si="180"/>
        <v>816</v>
      </c>
      <c r="C824" s="12"/>
      <c r="D824" s="12"/>
      <c r="E824" s="12"/>
      <c r="F824" s="52"/>
      <c r="G824" s="60">
        <v>640</v>
      </c>
      <c r="H824" s="60" t="s">
        <v>334</v>
      </c>
      <c r="I824" s="58">
        <v>6000</v>
      </c>
      <c r="J824" s="58">
        <v>6000</v>
      </c>
      <c r="K824" s="198">
        <f t="shared" si="184"/>
        <v>100</v>
      </c>
      <c r="L824" s="49"/>
      <c r="M824" s="49"/>
      <c r="N824" s="201"/>
      <c r="O824" s="58">
        <f t="shared" si="182"/>
        <v>6000</v>
      </c>
      <c r="P824" s="58">
        <f t="shared" si="183"/>
        <v>6000</v>
      </c>
      <c r="Q824" s="203">
        <f t="shared" si="185"/>
        <v>100</v>
      </c>
    </row>
    <row r="825" spans="2:17" x14ac:dyDescent="0.2">
      <c r="B825" s="72">
        <f t="shared" si="180"/>
        <v>817</v>
      </c>
      <c r="C825" s="12"/>
      <c r="D825" s="12"/>
      <c r="E825" s="12"/>
      <c r="F825" s="52"/>
      <c r="G825" s="60">
        <v>640</v>
      </c>
      <c r="H825" s="60" t="s">
        <v>720</v>
      </c>
      <c r="I825" s="58">
        <v>7000</v>
      </c>
      <c r="J825" s="58">
        <v>7000</v>
      </c>
      <c r="K825" s="198">
        <f t="shared" si="184"/>
        <v>100</v>
      </c>
      <c r="L825" s="49"/>
      <c r="M825" s="49"/>
      <c r="N825" s="201"/>
      <c r="O825" s="58">
        <f t="shared" si="182"/>
        <v>7000</v>
      </c>
      <c r="P825" s="58">
        <f t="shared" si="183"/>
        <v>7000</v>
      </c>
      <c r="Q825" s="203">
        <f t="shared" si="185"/>
        <v>100</v>
      </c>
    </row>
    <row r="826" spans="2:17" ht="24" x14ac:dyDescent="0.2">
      <c r="B826" s="72">
        <f t="shared" si="180"/>
        <v>818</v>
      </c>
      <c r="C826" s="12"/>
      <c r="D826" s="12"/>
      <c r="E826" s="12"/>
      <c r="F826" s="52"/>
      <c r="G826" s="81">
        <v>640</v>
      </c>
      <c r="H826" s="86" t="s">
        <v>721</v>
      </c>
      <c r="I826" s="58">
        <v>7000</v>
      </c>
      <c r="J826" s="58">
        <v>7000</v>
      </c>
      <c r="K826" s="198">
        <f t="shared" si="184"/>
        <v>100</v>
      </c>
      <c r="L826" s="49"/>
      <c r="M826" s="49"/>
      <c r="N826" s="201"/>
      <c r="O826" s="58">
        <f t="shared" si="182"/>
        <v>7000</v>
      </c>
      <c r="P826" s="58">
        <f t="shared" si="183"/>
        <v>7000</v>
      </c>
      <c r="Q826" s="203">
        <f t="shared" si="185"/>
        <v>100</v>
      </c>
    </row>
    <row r="827" spans="2:17" x14ac:dyDescent="0.2">
      <c r="B827" s="72">
        <f t="shared" si="180"/>
        <v>819</v>
      </c>
      <c r="C827" s="12"/>
      <c r="D827" s="12"/>
      <c r="E827" s="12"/>
      <c r="F827" s="52"/>
      <c r="G827" s="60">
        <v>640</v>
      </c>
      <c r="H827" s="60" t="s">
        <v>722</v>
      </c>
      <c r="I827" s="58">
        <v>2000</v>
      </c>
      <c r="J827" s="58">
        <v>2000</v>
      </c>
      <c r="K827" s="198">
        <f t="shared" si="184"/>
        <v>100</v>
      </c>
      <c r="L827" s="49"/>
      <c r="M827" s="49"/>
      <c r="N827" s="201"/>
      <c r="O827" s="58">
        <f t="shared" si="182"/>
        <v>2000</v>
      </c>
      <c r="P827" s="58">
        <f t="shared" si="183"/>
        <v>2000</v>
      </c>
      <c r="Q827" s="203">
        <f t="shared" si="185"/>
        <v>100</v>
      </c>
    </row>
    <row r="828" spans="2:17" x14ac:dyDescent="0.2">
      <c r="B828" s="72">
        <f t="shared" si="180"/>
        <v>820</v>
      </c>
      <c r="C828" s="11"/>
      <c r="D828" s="11"/>
      <c r="E828" s="11"/>
      <c r="F828" s="51"/>
      <c r="G828" s="11"/>
      <c r="H828" s="11" t="s">
        <v>129</v>
      </c>
      <c r="I828" s="48">
        <f>I829+I830+I831+I839</f>
        <v>42472</v>
      </c>
      <c r="J828" s="48">
        <f>J829+J830+J831+J839</f>
        <v>41660</v>
      </c>
      <c r="K828" s="198">
        <f t="shared" si="184"/>
        <v>98.088152194386893</v>
      </c>
      <c r="L828" s="48">
        <f>L829+L830+L831+L839</f>
        <v>0</v>
      </c>
      <c r="M828" s="48">
        <f>M829+M830+M831+M839</f>
        <v>0</v>
      </c>
      <c r="N828" s="201"/>
      <c r="O828" s="48">
        <f t="shared" si="182"/>
        <v>42472</v>
      </c>
      <c r="P828" s="48">
        <f t="shared" si="183"/>
        <v>41660</v>
      </c>
      <c r="Q828" s="203">
        <f t="shared" si="185"/>
        <v>98.088152194386893</v>
      </c>
    </row>
    <row r="829" spans="2:17" x14ac:dyDescent="0.2">
      <c r="B829" s="72">
        <f t="shared" si="180"/>
        <v>821</v>
      </c>
      <c r="C829" s="12"/>
      <c r="D829" s="12"/>
      <c r="E829" s="12"/>
      <c r="F829" s="52" t="s">
        <v>276</v>
      </c>
      <c r="G829" s="12">
        <v>610</v>
      </c>
      <c r="H829" s="12" t="s">
        <v>135</v>
      </c>
      <c r="I829" s="49">
        <f>24300+2203+353+152</f>
        <v>27008</v>
      </c>
      <c r="J829" s="49">
        <v>27007</v>
      </c>
      <c r="K829" s="198">
        <f t="shared" si="184"/>
        <v>99.996297393364927</v>
      </c>
      <c r="L829" s="49"/>
      <c r="M829" s="49"/>
      <c r="N829" s="201"/>
      <c r="O829" s="49">
        <f t="shared" si="182"/>
        <v>27008</v>
      </c>
      <c r="P829" s="49">
        <f t="shared" si="183"/>
        <v>27007</v>
      </c>
      <c r="Q829" s="203">
        <f t="shared" si="185"/>
        <v>99.996297393364927</v>
      </c>
    </row>
    <row r="830" spans="2:17" x14ac:dyDescent="0.2">
      <c r="B830" s="72">
        <f t="shared" si="180"/>
        <v>822</v>
      </c>
      <c r="C830" s="12"/>
      <c r="D830" s="12"/>
      <c r="E830" s="12"/>
      <c r="F830" s="52" t="s">
        <v>276</v>
      </c>
      <c r="G830" s="12">
        <v>620</v>
      </c>
      <c r="H830" s="12" t="s">
        <v>130</v>
      </c>
      <c r="I830" s="49">
        <f>9602+865+177</f>
        <v>10644</v>
      </c>
      <c r="J830" s="49">
        <v>10528</v>
      </c>
      <c r="K830" s="198">
        <f t="shared" si="184"/>
        <v>98.910184141300263</v>
      </c>
      <c r="L830" s="49"/>
      <c r="M830" s="49"/>
      <c r="N830" s="201"/>
      <c r="O830" s="49">
        <f t="shared" si="182"/>
        <v>10644</v>
      </c>
      <c r="P830" s="49">
        <f t="shared" si="183"/>
        <v>10528</v>
      </c>
      <c r="Q830" s="203">
        <f t="shared" si="185"/>
        <v>98.910184141300263</v>
      </c>
    </row>
    <row r="831" spans="2:17" x14ac:dyDescent="0.2">
      <c r="B831" s="72">
        <f t="shared" si="180"/>
        <v>823</v>
      </c>
      <c r="C831" s="12"/>
      <c r="D831" s="12"/>
      <c r="E831" s="12"/>
      <c r="F831" s="52" t="s">
        <v>276</v>
      </c>
      <c r="G831" s="12">
        <v>630</v>
      </c>
      <c r="H831" s="12" t="s">
        <v>127</v>
      </c>
      <c r="I831" s="49">
        <f>I836+I835+I834+I833+I832+I837+I838</f>
        <v>4820</v>
      </c>
      <c r="J831" s="49">
        <f>J836+J835+J834+J833+J832+J837+J838</f>
        <v>4125</v>
      </c>
      <c r="K831" s="198">
        <f t="shared" si="184"/>
        <v>85.580912863070537</v>
      </c>
      <c r="L831" s="49">
        <f>L836+L835+L834+L833+L832</f>
        <v>0</v>
      </c>
      <c r="M831" s="49">
        <f>M836+M835+M834+M833+M832</f>
        <v>0</v>
      </c>
      <c r="N831" s="201"/>
      <c r="O831" s="49">
        <f t="shared" si="182"/>
        <v>4820</v>
      </c>
      <c r="P831" s="49">
        <f t="shared" si="183"/>
        <v>4125</v>
      </c>
      <c r="Q831" s="203">
        <f t="shared" si="185"/>
        <v>85.580912863070537</v>
      </c>
    </row>
    <row r="832" spans="2:17" x14ac:dyDescent="0.2">
      <c r="B832" s="72">
        <f t="shared" si="180"/>
        <v>824</v>
      </c>
      <c r="C832" s="4"/>
      <c r="D832" s="4"/>
      <c r="E832" s="4"/>
      <c r="F832" s="53" t="s">
        <v>276</v>
      </c>
      <c r="G832" s="4">
        <v>631</v>
      </c>
      <c r="H832" s="4" t="s">
        <v>133</v>
      </c>
      <c r="I832" s="23">
        <f>50+120</f>
        <v>170</v>
      </c>
      <c r="J832" s="23">
        <v>162</v>
      </c>
      <c r="K832" s="198">
        <f t="shared" si="184"/>
        <v>95.294117647058812</v>
      </c>
      <c r="L832" s="23"/>
      <c r="M832" s="23"/>
      <c r="N832" s="201"/>
      <c r="O832" s="23">
        <f t="shared" si="182"/>
        <v>170</v>
      </c>
      <c r="P832" s="23">
        <f t="shared" si="183"/>
        <v>162</v>
      </c>
      <c r="Q832" s="203">
        <f t="shared" si="185"/>
        <v>95.294117647058812</v>
      </c>
    </row>
    <row r="833" spans="2:17" x14ac:dyDescent="0.2">
      <c r="B833" s="72">
        <f t="shared" si="180"/>
        <v>825</v>
      </c>
      <c r="C833" s="4"/>
      <c r="D833" s="4"/>
      <c r="E833" s="4"/>
      <c r="F833" s="53" t="s">
        <v>276</v>
      </c>
      <c r="G833" s="4">
        <v>632</v>
      </c>
      <c r="H833" s="4" t="s">
        <v>138</v>
      </c>
      <c r="I833" s="23">
        <v>400</v>
      </c>
      <c r="J833" s="23">
        <v>333</v>
      </c>
      <c r="K833" s="198">
        <f t="shared" si="184"/>
        <v>83.25</v>
      </c>
      <c r="L833" s="23"/>
      <c r="M833" s="23"/>
      <c r="N833" s="201"/>
      <c r="O833" s="23">
        <f t="shared" si="182"/>
        <v>400</v>
      </c>
      <c r="P833" s="23">
        <f t="shared" si="183"/>
        <v>333</v>
      </c>
      <c r="Q833" s="203">
        <f t="shared" si="185"/>
        <v>83.25</v>
      </c>
    </row>
    <row r="834" spans="2:17" x14ac:dyDescent="0.2">
      <c r="B834" s="72">
        <f t="shared" si="180"/>
        <v>826</v>
      </c>
      <c r="C834" s="4"/>
      <c r="D834" s="4"/>
      <c r="E834" s="4"/>
      <c r="F834" s="53" t="s">
        <v>276</v>
      </c>
      <c r="G834" s="4">
        <v>633</v>
      </c>
      <c r="H834" s="4" t="s">
        <v>131</v>
      </c>
      <c r="I834" s="23">
        <f>3920-3150+582-329</f>
        <v>1023</v>
      </c>
      <c r="J834" s="23">
        <v>578</v>
      </c>
      <c r="K834" s="198">
        <f t="shared" si="184"/>
        <v>56.500488758553281</v>
      </c>
      <c r="L834" s="23"/>
      <c r="M834" s="23"/>
      <c r="N834" s="201"/>
      <c r="O834" s="23">
        <f t="shared" si="182"/>
        <v>1023</v>
      </c>
      <c r="P834" s="23">
        <f t="shared" si="183"/>
        <v>578</v>
      </c>
      <c r="Q834" s="203">
        <f t="shared" si="185"/>
        <v>56.500488758553281</v>
      </c>
    </row>
    <row r="835" spans="2:17" x14ac:dyDescent="0.2">
      <c r="B835" s="72">
        <f t="shared" si="180"/>
        <v>827</v>
      </c>
      <c r="C835" s="4"/>
      <c r="D835" s="4"/>
      <c r="E835" s="4"/>
      <c r="F835" s="53" t="s">
        <v>276</v>
      </c>
      <c r="G835" s="4">
        <v>635</v>
      </c>
      <c r="H835" s="4" t="s">
        <v>137</v>
      </c>
      <c r="I835" s="23">
        <f>303-120</f>
        <v>183</v>
      </c>
      <c r="J835" s="23">
        <v>0</v>
      </c>
      <c r="K835" s="198">
        <f t="shared" si="184"/>
        <v>0</v>
      </c>
      <c r="L835" s="23"/>
      <c r="M835" s="23"/>
      <c r="N835" s="201"/>
      <c r="O835" s="23">
        <f t="shared" si="182"/>
        <v>183</v>
      </c>
      <c r="P835" s="23">
        <f t="shared" si="183"/>
        <v>0</v>
      </c>
      <c r="Q835" s="203">
        <f t="shared" si="185"/>
        <v>0</v>
      </c>
    </row>
    <row r="836" spans="2:17" x14ac:dyDescent="0.2">
      <c r="B836" s="72">
        <f t="shared" si="180"/>
        <v>828</v>
      </c>
      <c r="C836" s="4"/>
      <c r="D836" s="4"/>
      <c r="E836" s="4"/>
      <c r="F836" s="53" t="s">
        <v>276</v>
      </c>
      <c r="G836" s="4">
        <v>637</v>
      </c>
      <c r="H836" s="4" t="s">
        <v>128</v>
      </c>
      <c r="I836" s="23">
        <v>1580</v>
      </c>
      <c r="J836" s="23">
        <v>1588</v>
      </c>
      <c r="K836" s="198">
        <f t="shared" si="184"/>
        <v>100.50632911392405</v>
      </c>
      <c r="L836" s="23"/>
      <c r="M836" s="23"/>
      <c r="N836" s="201"/>
      <c r="O836" s="23">
        <f t="shared" si="182"/>
        <v>1580</v>
      </c>
      <c r="P836" s="23">
        <f t="shared" si="183"/>
        <v>1588</v>
      </c>
      <c r="Q836" s="203">
        <f t="shared" si="185"/>
        <v>100.50632911392405</v>
      </c>
    </row>
    <row r="837" spans="2:17" x14ac:dyDescent="0.2">
      <c r="B837" s="72">
        <f t="shared" si="180"/>
        <v>829</v>
      </c>
      <c r="C837" s="4"/>
      <c r="D837" s="4"/>
      <c r="E837" s="4"/>
      <c r="F837" s="53" t="s">
        <v>276</v>
      </c>
      <c r="G837" s="4">
        <v>630</v>
      </c>
      <c r="H837" s="4" t="s">
        <v>596</v>
      </c>
      <c r="I837" s="23">
        <v>1178</v>
      </c>
      <c r="J837" s="23">
        <v>1178</v>
      </c>
      <c r="K837" s="198">
        <f t="shared" si="184"/>
        <v>100</v>
      </c>
      <c r="L837" s="23"/>
      <c r="M837" s="23"/>
      <c r="N837" s="201"/>
      <c r="O837" s="23">
        <f t="shared" si="182"/>
        <v>1178</v>
      </c>
      <c r="P837" s="23">
        <f t="shared" si="183"/>
        <v>1178</v>
      </c>
      <c r="Q837" s="203">
        <f t="shared" si="185"/>
        <v>100</v>
      </c>
    </row>
    <row r="838" spans="2:17" x14ac:dyDescent="0.2">
      <c r="B838" s="72">
        <f t="shared" si="180"/>
        <v>830</v>
      </c>
      <c r="C838" s="4"/>
      <c r="D838" s="4"/>
      <c r="E838" s="4"/>
      <c r="F838" s="53" t="s">
        <v>276</v>
      </c>
      <c r="G838" s="4">
        <v>630</v>
      </c>
      <c r="H838" s="4" t="s">
        <v>582</v>
      </c>
      <c r="I838" s="23">
        <v>286</v>
      </c>
      <c r="J838" s="23">
        <v>286</v>
      </c>
      <c r="K838" s="198">
        <f t="shared" si="184"/>
        <v>100</v>
      </c>
      <c r="L838" s="23"/>
      <c r="M838" s="23"/>
      <c r="N838" s="201"/>
      <c r="O838" s="23">
        <f t="shared" si="182"/>
        <v>286</v>
      </c>
      <c r="P838" s="23">
        <f t="shared" si="183"/>
        <v>286</v>
      </c>
      <c r="Q838" s="203">
        <f t="shared" si="185"/>
        <v>100</v>
      </c>
    </row>
    <row r="839" spans="2:17" x14ac:dyDescent="0.2">
      <c r="B839" s="72">
        <f t="shared" si="180"/>
        <v>831</v>
      </c>
      <c r="C839" s="12"/>
      <c r="D839" s="12"/>
      <c r="E839" s="12"/>
      <c r="F839" s="52" t="s">
        <v>276</v>
      </c>
      <c r="G839" s="12">
        <v>640</v>
      </c>
      <c r="H839" s="12" t="s">
        <v>134</v>
      </c>
      <c r="I839" s="49">
        <f>1800-1800</f>
        <v>0</v>
      </c>
      <c r="J839" s="49">
        <f>1800-1800</f>
        <v>0</v>
      </c>
      <c r="K839" s="198"/>
      <c r="L839" s="49"/>
      <c r="M839" s="49"/>
      <c r="N839" s="201"/>
      <c r="O839" s="49">
        <f t="shared" si="182"/>
        <v>0</v>
      </c>
      <c r="P839" s="49">
        <f t="shared" si="183"/>
        <v>0</v>
      </c>
      <c r="Q839" s="203"/>
    </row>
    <row r="840" spans="2:17" ht="15" x14ac:dyDescent="0.25">
      <c r="B840" s="72">
        <f t="shared" si="180"/>
        <v>832</v>
      </c>
      <c r="C840" s="15"/>
      <c r="D840" s="15"/>
      <c r="E840" s="15">
        <v>4</v>
      </c>
      <c r="F840" s="50"/>
      <c r="G840" s="15"/>
      <c r="H840" s="15" t="s">
        <v>84</v>
      </c>
      <c r="I840" s="47">
        <f>I841+I842+I843+I851</f>
        <v>218983</v>
      </c>
      <c r="J840" s="47">
        <f>J841+J842+J843+J851</f>
        <v>208972</v>
      </c>
      <c r="K840" s="198">
        <f t="shared" ref="K840:K851" si="186">J840/I840*100</f>
        <v>95.428412251179324</v>
      </c>
      <c r="L840" s="47">
        <f>L841+L842+L843+L851</f>
        <v>0</v>
      </c>
      <c r="M840" s="47">
        <f>M841+M842+M843+M851</f>
        <v>0</v>
      </c>
      <c r="N840" s="201"/>
      <c r="O840" s="47">
        <f>O841+O842+O843+O851</f>
        <v>218983</v>
      </c>
      <c r="P840" s="47">
        <f>P841+P842+P843+P851</f>
        <v>208972</v>
      </c>
      <c r="Q840" s="203">
        <f t="shared" ref="Q840:Q851" si="187">P840/O840*100</f>
        <v>95.428412251179324</v>
      </c>
    </row>
    <row r="841" spans="2:17" x14ac:dyDescent="0.2">
      <c r="B841" s="72">
        <f t="shared" si="180"/>
        <v>833</v>
      </c>
      <c r="C841" s="12"/>
      <c r="D841" s="12"/>
      <c r="E841" s="12"/>
      <c r="F841" s="52" t="s">
        <v>72</v>
      </c>
      <c r="G841" s="12">
        <v>610</v>
      </c>
      <c r="H841" s="12" t="s">
        <v>135</v>
      </c>
      <c r="I841" s="49">
        <f>118476-26080-8923-81</f>
        <v>83392</v>
      </c>
      <c r="J841" s="49">
        <v>82545</v>
      </c>
      <c r="K841" s="198">
        <f t="shared" si="186"/>
        <v>98.984315042210284</v>
      </c>
      <c r="L841" s="49"/>
      <c r="M841" s="49"/>
      <c r="N841" s="201"/>
      <c r="O841" s="49">
        <f t="shared" ref="O841:O851" si="188">L841+I841</f>
        <v>83392</v>
      </c>
      <c r="P841" s="49">
        <f t="shared" ref="P841:P851" si="189">M841+J841</f>
        <v>82545</v>
      </c>
      <c r="Q841" s="203">
        <f t="shared" si="187"/>
        <v>98.984315042210284</v>
      </c>
    </row>
    <row r="842" spans="2:17" x14ac:dyDescent="0.2">
      <c r="B842" s="72">
        <f t="shared" si="180"/>
        <v>834</v>
      </c>
      <c r="C842" s="12"/>
      <c r="D842" s="12"/>
      <c r="E842" s="12"/>
      <c r="F842" s="52" t="s">
        <v>72</v>
      </c>
      <c r="G842" s="12">
        <v>620</v>
      </c>
      <c r="H842" s="12" t="s">
        <v>130</v>
      </c>
      <c r="I842" s="49">
        <f>45321-6970-3298</f>
        <v>35053</v>
      </c>
      <c r="J842" s="49">
        <v>34960</v>
      </c>
      <c r="K842" s="198">
        <f t="shared" si="186"/>
        <v>99.734687473254795</v>
      </c>
      <c r="L842" s="49"/>
      <c r="M842" s="49"/>
      <c r="N842" s="201"/>
      <c r="O842" s="49">
        <f t="shared" si="188"/>
        <v>35053</v>
      </c>
      <c r="P842" s="49">
        <f t="shared" si="189"/>
        <v>34960</v>
      </c>
      <c r="Q842" s="203">
        <f t="shared" si="187"/>
        <v>99.734687473254795</v>
      </c>
    </row>
    <row r="843" spans="2:17" x14ac:dyDescent="0.2">
      <c r="B843" s="72">
        <f t="shared" si="180"/>
        <v>835</v>
      </c>
      <c r="C843" s="12"/>
      <c r="D843" s="12"/>
      <c r="E843" s="12"/>
      <c r="F843" s="52" t="s">
        <v>72</v>
      </c>
      <c r="G843" s="12">
        <v>630</v>
      </c>
      <c r="H843" s="12" t="s">
        <v>127</v>
      </c>
      <c r="I843" s="49">
        <f>I850+I849+I848+I847+I846+I845+I844</f>
        <v>96067</v>
      </c>
      <c r="J843" s="49">
        <f>J850+J849+J848+J847+J846+J845+J844</f>
        <v>86996</v>
      </c>
      <c r="K843" s="198">
        <f t="shared" si="186"/>
        <v>90.55763165290891</v>
      </c>
      <c r="L843" s="49">
        <f>L850+L849+L848+L847+L846+L845</f>
        <v>0</v>
      </c>
      <c r="M843" s="49">
        <f>M850+M849+M848+M847+M846+M845</f>
        <v>0</v>
      </c>
      <c r="N843" s="201"/>
      <c r="O843" s="49">
        <f t="shared" si="188"/>
        <v>96067</v>
      </c>
      <c r="P843" s="49">
        <f t="shared" si="189"/>
        <v>86996</v>
      </c>
      <c r="Q843" s="203">
        <f t="shared" si="187"/>
        <v>90.55763165290891</v>
      </c>
    </row>
    <row r="844" spans="2:17" x14ac:dyDescent="0.2">
      <c r="B844" s="72">
        <f t="shared" si="180"/>
        <v>836</v>
      </c>
      <c r="C844" s="12"/>
      <c r="D844" s="12"/>
      <c r="E844" s="12"/>
      <c r="F844" s="53" t="s">
        <v>72</v>
      </c>
      <c r="G844" s="4">
        <v>631</v>
      </c>
      <c r="H844" s="4" t="s">
        <v>133</v>
      </c>
      <c r="I844" s="23">
        <v>39</v>
      </c>
      <c r="J844" s="23">
        <v>39</v>
      </c>
      <c r="K844" s="198">
        <f t="shared" si="186"/>
        <v>100</v>
      </c>
      <c r="L844" s="23"/>
      <c r="M844" s="23"/>
      <c r="N844" s="201"/>
      <c r="O844" s="23">
        <f t="shared" si="188"/>
        <v>39</v>
      </c>
      <c r="P844" s="23">
        <f t="shared" si="189"/>
        <v>39</v>
      </c>
      <c r="Q844" s="203">
        <f t="shared" si="187"/>
        <v>100</v>
      </c>
    </row>
    <row r="845" spans="2:17" x14ac:dyDescent="0.2">
      <c r="B845" s="72">
        <f t="shared" si="180"/>
        <v>837</v>
      </c>
      <c r="C845" s="4"/>
      <c r="D845" s="4"/>
      <c r="E845" s="4"/>
      <c r="F845" s="53" t="s">
        <v>72</v>
      </c>
      <c r="G845" s="4">
        <v>632</v>
      </c>
      <c r="H845" s="4" t="s">
        <v>138</v>
      </c>
      <c r="I845" s="23">
        <f>2200-1210</f>
        <v>990</v>
      </c>
      <c r="J845" s="23">
        <v>990</v>
      </c>
      <c r="K845" s="198">
        <f t="shared" si="186"/>
        <v>100</v>
      </c>
      <c r="L845" s="23"/>
      <c r="M845" s="23"/>
      <c r="N845" s="201"/>
      <c r="O845" s="23">
        <f t="shared" si="188"/>
        <v>990</v>
      </c>
      <c r="P845" s="23">
        <f t="shared" si="189"/>
        <v>990</v>
      </c>
      <c r="Q845" s="203">
        <f t="shared" si="187"/>
        <v>100</v>
      </c>
    </row>
    <row r="846" spans="2:17" x14ac:dyDescent="0.2">
      <c r="B846" s="72">
        <f t="shared" si="180"/>
        <v>838</v>
      </c>
      <c r="C846" s="4"/>
      <c r="D846" s="4"/>
      <c r="E846" s="4"/>
      <c r="F846" s="53" t="s">
        <v>72</v>
      </c>
      <c r="G846" s="4">
        <v>633</v>
      </c>
      <c r="H846" s="4" t="s">
        <v>131</v>
      </c>
      <c r="I846" s="23">
        <f>3700+10000+5000</f>
        <v>18700</v>
      </c>
      <c r="J846" s="23">
        <v>18700</v>
      </c>
      <c r="K846" s="198">
        <f t="shared" si="186"/>
        <v>100</v>
      </c>
      <c r="L846" s="23"/>
      <c r="M846" s="23"/>
      <c r="N846" s="201"/>
      <c r="O846" s="23">
        <f t="shared" si="188"/>
        <v>18700</v>
      </c>
      <c r="P846" s="23">
        <f t="shared" si="189"/>
        <v>18700</v>
      </c>
      <c r="Q846" s="203">
        <f t="shared" si="187"/>
        <v>100</v>
      </c>
    </row>
    <row r="847" spans="2:17" x14ac:dyDescent="0.2">
      <c r="B847" s="72">
        <f t="shared" si="180"/>
        <v>839</v>
      </c>
      <c r="C847" s="4"/>
      <c r="D847" s="4"/>
      <c r="E847" s="4"/>
      <c r="F847" s="53" t="s">
        <v>72</v>
      </c>
      <c r="G847" s="4">
        <v>634</v>
      </c>
      <c r="H847" s="4" t="s">
        <v>136</v>
      </c>
      <c r="I847" s="23">
        <f>7270-3930</f>
        <v>3340</v>
      </c>
      <c r="J847" s="23">
        <v>2760</v>
      </c>
      <c r="K847" s="198">
        <f t="shared" si="186"/>
        <v>82.634730538922156</v>
      </c>
      <c r="L847" s="23"/>
      <c r="M847" s="23"/>
      <c r="N847" s="201"/>
      <c r="O847" s="23">
        <f t="shared" si="188"/>
        <v>3340</v>
      </c>
      <c r="P847" s="23">
        <f t="shared" si="189"/>
        <v>2760</v>
      </c>
      <c r="Q847" s="203">
        <f t="shared" si="187"/>
        <v>82.634730538922156</v>
      </c>
    </row>
    <row r="848" spans="2:17" x14ac:dyDescent="0.2">
      <c r="B848" s="72">
        <f t="shared" si="180"/>
        <v>840</v>
      </c>
      <c r="C848" s="4"/>
      <c r="D848" s="4"/>
      <c r="E848" s="4"/>
      <c r="F848" s="53" t="s">
        <v>72</v>
      </c>
      <c r="G848" s="4">
        <v>635</v>
      </c>
      <c r="H848" s="4" t="s">
        <v>137</v>
      </c>
      <c r="I848" s="23">
        <f>1400+34322</f>
        <v>35722</v>
      </c>
      <c r="J848" s="23">
        <v>33080</v>
      </c>
      <c r="K848" s="198">
        <f t="shared" si="186"/>
        <v>92.603997536532106</v>
      </c>
      <c r="L848" s="23"/>
      <c r="M848" s="23"/>
      <c r="N848" s="201"/>
      <c r="O848" s="23">
        <f t="shared" si="188"/>
        <v>35722</v>
      </c>
      <c r="P848" s="23">
        <f t="shared" si="189"/>
        <v>33080</v>
      </c>
      <c r="Q848" s="203">
        <f t="shared" si="187"/>
        <v>92.603997536532106</v>
      </c>
    </row>
    <row r="849" spans="2:17" x14ac:dyDescent="0.2">
      <c r="B849" s="72">
        <f t="shared" si="180"/>
        <v>841</v>
      </c>
      <c r="C849" s="4"/>
      <c r="D849" s="4"/>
      <c r="E849" s="4"/>
      <c r="F849" s="53" t="s">
        <v>72</v>
      </c>
      <c r="G849" s="4">
        <v>636</v>
      </c>
      <c r="H849" s="4" t="s">
        <v>132</v>
      </c>
      <c r="I849" s="23">
        <f>2350+263</f>
        <v>2613</v>
      </c>
      <c r="J849" s="23">
        <v>2470</v>
      </c>
      <c r="K849" s="198">
        <f t="shared" si="186"/>
        <v>94.527363184079604</v>
      </c>
      <c r="L849" s="23"/>
      <c r="M849" s="23"/>
      <c r="N849" s="201"/>
      <c r="O849" s="23">
        <f t="shared" si="188"/>
        <v>2613</v>
      </c>
      <c r="P849" s="23">
        <f t="shared" si="189"/>
        <v>2470</v>
      </c>
      <c r="Q849" s="203">
        <f t="shared" si="187"/>
        <v>94.527363184079604</v>
      </c>
    </row>
    <row r="850" spans="2:17" x14ac:dyDescent="0.2">
      <c r="B850" s="72">
        <f t="shared" si="180"/>
        <v>842</v>
      </c>
      <c r="C850" s="4"/>
      <c r="D850" s="4"/>
      <c r="E850" s="4"/>
      <c r="F850" s="53" t="s">
        <v>72</v>
      </c>
      <c r="G850" s="4">
        <v>637</v>
      </c>
      <c r="H850" s="4" t="s">
        <v>128</v>
      </c>
      <c r="I850" s="23">
        <f>40100-5437</f>
        <v>34663</v>
      </c>
      <c r="J850" s="23">
        <v>28957</v>
      </c>
      <c r="K850" s="198">
        <f t="shared" si="186"/>
        <v>83.538643510371287</v>
      </c>
      <c r="L850" s="23"/>
      <c r="M850" s="23"/>
      <c r="N850" s="201"/>
      <c r="O850" s="23">
        <f t="shared" si="188"/>
        <v>34663</v>
      </c>
      <c r="P850" s="23">
        <f t="shared" si="189"/>
        <v>28957</v>
      </c>
      <c r="Q850" s="203">
        <f t="shared" si="187"/>
        <v>83.538643510371287</v>
      </c>
    </row>
    <row r="851" spans="2:17" x14ac:dyDescent="0.2">
      <c r="B851" s="72">
        <f t="shared" si="180"/>
        <v>843</v>
      </c>
      <c r="C851" s="12"/>
      <c r="D851" s="12"/>
      <c r="E851" s="12"/>
      <c r="F851" s="52" t="s">
        <v>72</v>
      </c>
      <c r="G851" s="12">
        <v>640</v>
      </c>
      <c r="H851" s="12" t="s">
        <v>134</v>
      </c>
      <c r="I851" s="49">
        <f>3490+900+81</f>
        <v>4471</v>
      </c>
      <c r="J851" s="49">
        <v>4471</v>
      </c>
      <c r="K851" s="198">
        <f t="shared" si="186"/>
        <v>100</v>
      </c>
      <c r="L851" s="49"/>
      <c r="M851" s="49"/>
      <c r="N851" s="201"/>
      <c r="O851" s="49">
        <f t="shared" si="188"/>
        <v>4471</v>
      </c>
      <c r="P851" s="49">
        <f t="shared" si="189"/>
        <v>4471</v>
      </c>
      <c r="Q851" s="203">
        <f t="shared" si="187"/>
        <v>100</v>
      </c>
    </row>
  </sheetData>
  <mergeCells count="24">
    <mergeCell ref="I5:I8"/>
    <mergeCell ref="B3:O3"/>
    <mergeCell ref="C9:H9"/>
    <mergeCell ref="D10:H10"/>
    <mergeCell ref="D220:H220"/>
    <mergeCell ref="O4:O8"/>
    <mergeCell ref="B5:B8"/>
    <mergeCell ref="C5:C8"/>
    <mergeCell ref="B4:N4"/>
    <mergeCell ref="D818:H818"/>
    <mergeCell ref="D5:D8"/>
    <mergeCell ref="E5:E8"/>
    <mergeCell ref="F5:F8"/>
    <mergeCell ref="G5:G8"/>
    <mergeCell ref="H5:H8"/>
    <mergeCell ref="D466:H466"/>
    <mergeCell ref="D569:H569"/>
    <mergeCell ref="P4:P8"/>
    <mergeCell ref="Q4:Q8"/>
    <mergeCell ref="L5:L8"/>
    <mergeCell ref="J5:J8"/>
    <mergeCell ref="K5:K8"/>
    <mergeCell ref="M5:M8"/>
    <mergeCell ref="N5:N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132"/>
  <sheetViews>
    <sheetView zoomScale="90" zoomScaleNormal="90" workbookViewId="0"/>
  </sheetViews>
  <sheetFormatPr defaultRowHeight="12.75" x14ac:dyDescent="0.2"/>
  <cols>
    <col min="2" max="2" width="4.7109375" customWidth="1"/>
    <col min="3" max="3" width="4.28515625" customWidth="1"/>
    <col min="4" max="4" width="3.42578125" customWidth="1"/>
    <col min="5" max="5" width="5.7109375" customWidth="1"/>
    <col min="6" max="6" width="5.85546875" customWidth="1"/>
    <col min="7" max="7" width="5.28515625" customWidth="1"/>
    <col min="8" max="8" width="51.42578125" customWidth="1"/>
    <col min="9" max="9" width="12.5703125" customWidth="1"/>
    <col min="10" max="10" width="11.85546875" customWidth="1"/>
    <col min="11" max="11" width="6.7109375" customWidth="1"/>
    <col min="12" max="12" width="11.140625" customWidth="1"/>
    <col min="13" max="13" width="13.7109375" customWidth="1"/>
    <col min="14" max="14" width="7.5703125" style="209" customWidth="1"/>
    <col min="15" max="15" width="11.28515625" customWidth="1"/>
    <col min="16" max="16" width="12.140625" customWidth="1"/>
    <col min="17" max="17" width="7.5703125" customWidth="1"/>
  </cols>
  <sheetData>
    <row r="4" spans="2:17" ht="27" x14ac:dyDescent="0.35">
      <c r="B4" s="264" t="s">
        <v>343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2:17" x14ac:dyDescent="0.2">
      <c r="B5" s="271" t="s">
        <v>280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5"/>
      <c r="O5" s="261" t="s">
        <v>575</v>
      </c>
      <c r="P5" s="250" t="s">
        <v>768</v>
      </c>
      <c r="Q5" s="251" t="s">
        <v>765</v>
      </c>
    </row>
    <row r="6" spans="2:17" x14ac:dyDescent="0.2">
      <c r="B6" s="266" t="s">
        <v>111</v>
      </c>
      <c r="C6" s="255" t="s">
        <v>119</v>
      </c>
      <c r="D6" s="255" t="s">
        <v>120</v>
      </c>
      <c r="E6" s="258" t="s">
        <v>124</v>
      </c>
      <c r="F6" s="255" t="s">
        <v>121</v>
      </c>
      <c r="G6" s="255" t="s">
        <v>122</v>
      </c>
      <c r="H6" s="273" t="s">
        <v>123</v>
      </c>
      <c r="I6" s="261" t="s">
        <v>572</v>
      </c>
      <c r="J6" s="250" t="s">
        <v>766</v>
      </c>
      <c r="K6" s="251" t="s">
        <v>765</v>
      </c>
      <c r="L6" s="261" t="s">
        <v>573</v>
      </c>
      <c r="M6" s="250" t="s">
        <v>767</v>
      </c>
      <c r="N6" s="251" t="s">
        <v>765</v>
      </c>
      <c r="O6" s="262"/>
      <c r="P6" s="250"/>
      <c r="Q6" s="251"/>
    </row>
    <row r="7" spans="2:17" x14ac:dyDescent="0.2">
      <c r="B7" s="266"/>
      <c r="C7" s="255"/>
      <c r="D7" s="255"/>
      <c r="E7" s="259"/>
      <c r="F7" s="255"/>
      <c r="G7" s="255"/>
      <c r="H7" s="273"/>
      <c r="I7" s="262"/>
      <c r="J7" s="250"/>
      <c r="K7" s="251"/>
      <c r="L7" s="262"/>
      <c r="M7" s="250"/>
      <c r="N7" s="251"/>
      <c r="O7" s="262"/>
      <c r="P7" s="250"/>
      <c r="Q7" s="251"/>
    </row>
    <row r="8" spans="2:17" x14ac:dyDescent="0.2">
      <c r="B8" s="266"/>
      <c r="C8" s="255"/>
      <c r="D8" s="255"/>
      <c r="E8" s="259"/>
      <c r="F8" s="255"/>
      <c r="G8" s="255"/>
      <c r="H8" s="273"/>
      <c r="I8" s="262"/>
      <c r="J8" s="250"/>
      <c r="K8" s="251"/>
      <c r="L8" s="262"/>
      <c r="M8" s="250"/>
      <c r="N8" s="251"/>
      <c r="O8" s="262"/>
      <c r="P8" s="250"/>
      <c r="Q8" s="251"/>
    </row>
    <row r="9" spans="2:17" ht="13.5" thickBot="1" x14ac:dyDescent="0.25">
      <c r="B9" s="267"/>
      <c r="C9" s="256"/>
      <c r="D9" s="256"/>
      <c r="E9" s="260"/>
      <c r="F9" s="256"/>
      <c r="G9" s="256"/>
      <c r="H9" s="274"/>
      <c r="I9" s="263"/>
      <c r="J9" s="250"/>
      <c r="K9" s="251"/>
      <c r="L9" s="263"/>
      <c r="M9" s="250"/>
      <c r="N9" s="251"/>
      <c r="O9" s="263"/>
      <c r="P9" s="250"/>
      <c r="Q9" s="251"/>
    </row>
    <row r="10" spans="2:17" ht="16.5" thickTop="1" x14ac:dyDescent="0.2">
      <c r="B10" s="72">
        <f t="shared" ref="B10:B41" si="0">B9+1</f>
        <v>1</v>
      </c>
      <c r="C10" s="268" t="s">
        <v>343</v>
      </c>
      <c r="D10" s="269"/>
      <c r="E10" s="269"/>
      <c r="F10" s="269"/>
      <c r="G10" s="269"/>
      <c r="H10" s="270"/>
      <c r="I10" s="44">
        <f>I102+I31+I14+I11</f>
        <v>1792334</v>
      </c>
      <c r="J10" s="44">
        <f>J102+J31+J14+J11</f>
        <v>1704113</v>
      </c>
      <c r="K10" s="198">
        <f t="shared" ref="K10:K43" si="1">J10/I10*100</f>
        <v>95.077870530827397</v>
      </c>
      <c r="L10" s="44">
        <f>L102+L31+L14+L11</f>
        <v>530500</v>
      </c>
      <c r="M10" s="44">
        <f>M102+M31+M14+M11</f>
        <v>354998</v>
      </c>
      <c r="N10" s="210">
        <f>M10/L10*100</f>
        <v>66.917624882186615</v>
      </c>
      <c r="O10" s="44">
        <f t="shared" ref="O10:O41" si="2">I10+L10</f>
        <v>2322834</v>
      </c>
      <c r="P10" s="44">
        <f t="shared" ref="P10:P41" si="3">J10+M10</f>
        <v>2059111</v>
      </c>
      <c r="Q10" s="203">
        <f t="shared" ref="Q10:Q41" si="4">P10/O10*100</f>
        <v>88.646498200043567</v>
      </c>
    </row>
    <row r="11" spans="2:17" ht="15" x14ac:dyDescent="0.2">
      <c r="B11" s="72">
        <f t="shared" si="0"/>
        <v>2</v>
      </c>
      <c r="C11" s="179">
        <v>1</v>
      </c>
      <c r="D11" s="257" t="s">
        <v>12</v>
      </c>
      <c r="E11" s="253"/>
      <c r="F11" s="253"/>
      <c r="G11" s="253"/>
      <c r="H11" s="254"/>
      <c r="I11" s="45">
        <f>I12</f>
        <v>1700</v>
      </c>
      <c r="J11" s="45">
        <f>J12</f>
        <v>1533</v>
      </c>
      <c r="K11" s="198">
        <f t="shared" si="1"/>
        <v>90.17647058823529</v>
      </c>
      <c r="L11" s="45">
        <f>L12</f>
        <v>0</v>
      </c>
      <c r="M11" s="45">
        <f>M12</f>
        <v>0</v>
      </c>
      <c r="N11" s="211"/>
      <c r="O11" s="45">
        <f t="shared" si="2"/>
        <v>1700</v>
      </c>
      <c r="P11" s="45">
        <f t="shared" si="3"/>
        <v>1533</v>
      </c>
      <c r="Q11" s="203">
        <f t="shared" si="4"/>
        <v>90.17647058823529</v>
      </c>
    </row>
    <row r="12" spans="2:17" x14ac:dyDescent="0.2">
      <c r="B12" s="72">
        <f t="shared" si="0"/>
        <v>3</v>
      </c>
      <c r="C12" s="12"/>
      <c r="D12" s="12"/>
      <c r="E12" s="12"/>
      <c r="F12" s="52" t="s">
        <v>188</v>
      </c>
      <c r="G12" s="12">
        <v>630</v>
      </c>
      <c r="H12" s="12" t="s">
        <v>127</v>
      </c>
      <c r="I12" s="49">
        <f>I13</f>
        <v>1700</v>
      </c>
      <c r="J12" s="49">
        <f>J13</f>
        <v>1533</v>
      </c>
      <c r="K12" s="198">
        <f t="shared" si="1"/>
        <v>90.17647058823529</v>
      </c>
      <c r="L12" s="49">
        <v>0</v>
      </c>
      <c r="M12" s="49"/>
      <c r="N12" s="207"/>
      <c r="O12" s="49">
        <f t="shared" si="2"/>
        <v>1700</v>
      </c>
      <c r="P12" s="49">
        <f t="shared" si="3"/>
        <v>1533</v>
      </c>
      <c r="Q12" s="203">
        <f t="shared" si="4"/>
        <v>90.17647058823529</v>
      </c>
    </row>
    <row r="13" spans="2:17" x14ac:dyDescent="0.2">
      <c r="B13" s="72">
        <f t="shared" si="0"/>
        <v>4</v>
      </c>
      <c r="C13" s="12"/>
      <c r="D13" s="12"/>
      <c r="E13" s="12"/>
      <c r="F13" s="64" t="s">
        <v>188</v>
      </c>
      <c r="G13" s="60">
        <v>633</v>
      </c>
      <c r="H13" s="60" t="s">
        <v>350</v>
      </c>
      <c r="I13" s="58">
        <v>1700</v>
      </c>
      <c r="J13" s="58">
        <v>1533</v>
      </c>
      <c r="K13" s="198">
        <f t="shared" si="1"/>
        <v>90.17647058823529</v>
      </c>
      <c r="L13" s="49"/>
      <c r="M13" s="49"/>
      <c r="N13" s="207"/>
      <c r="O13" s="23">
        <f t="shared" si="2"/>
        <v>1700</v>
      </c>
      <c r="P13" s="23">
        <f t="shared" si="3"/>
        <v>1533</v>
      </c>
      <c r="Q13" s="203">
        <f t="shared" si="4"/>
        <v>90.17647058823529</v>
      </c>
    </row>
    <row r="14" spans="2:17" ht="15" x14ac:dyDescent="0.2">
      <c r="B14" s="72">
        <f t="shared" si="0"/>
        <v>5</v>
      </c>
      <c r="C14" s="179">
        <v>2</v>
      </c>
      <c r="D14" s="257" t="s">
        <v>344</v>
      </c>
      <c r="E14" s="253"/>
      <c r="F14" s="253"/>
      <c r="G14" s="253"/>
      <c r="H14" s="254"/>
      <c r="I14" s="45">
        <f>I15</f>
        <v>490934</v>
      </c>
      <c r="J14" s="45">
        <f>J15</f>
        <v>490415</v>
      </c>
      <c r="K14" s="198">
        <f t="shared" si="1"/>
        <v>99.894283141929463</v>
      </c>
      <c r="L14" s="45">
        <f>L15</f>
        <v>0</v>
      </c>
      <c r="M14" s="45">
        <f>M15</f>
        <v>0</v>
      </c>
      <c r="N14" s="211"/>
      <c r="O14" s="45">
        <f t="shared" si="2"/>
        <v>490934</v>
      </c>
      <c r="P14" s="45">
        <f t="shared" si="3"/>
        <v>490415</v>
      </c>
      <c r="Q14" s="203">
        <f t="shared" si="4"/>
        <v>99.894283141929463</v>
      </c>
    </row>
    <row r="15" spans="2:17" x14ac:dyDescent="0.2">
      <c r="B15" s="72">
        <f t="shared" si="0"/>
        <v>6</v>
      </c>
      <c r="C15" s="12"/>
      <c r="D15" s="12"/>
      <c r="E15" s="12"/>
      <c r="F15" s="52" t="s">
        <v>188</v>
      </c>
      <c r="G15" s="12">
        <v>640</v>
      </c>
      <c r="H15" s="12" t="s">
        <v>134</v>
      </c>
      <c r="I15" s="49">
        <f>SUM(I16:I30)</f>
        <v>490934</v>
      </c>
      <c r="J15" s="49">
        <f>SUM(J16:J30)</f>
        <v>490415</v>
      </c>
      <c r="K15" s="198">
        <f t="shared" si="1"/>
        <v>99.894283141929463</v>
      </c>
      <c r="L15" s="49">
        <f>SUM(L16:L19)</f>
        <v>0</v>
      </c>
      <c r="M15" s="49">
        <f>SUM(M16:M19)</f>
        <v>0</v>
      </c>
      <c r="N15" s="207"/>
      <c r="O15" s="49">
        <f t="shared" si="2"/>
        <v>490934</v>
      </c>
      <c r="P15" s="49">
        <f t="shared" si="3"/>
        <v>490415</v>
      </c>
      <c r="Q15" s="203">
        <f t="shared" si="4"/>
        <v>99.894283141929463</v>
      </c>
    </row>
    <row r="16" spans="2:17" x14ac:dyDescent="0.2">
      <c r="B16" s="72">
        <f t="shared" si="0"/>
        <v>7</v>
      </c>
      <c r="C16" s="12"/>
      <c r="D16" s="57"/>
      <c r="E16" s="12"/>
      <c r="F16" s="52"/>
      <c r="G16" s="12"/>
      <c r="H16" s="59" t="s">
        <v>189</v>
      </c>
      <c r="I16" s="58">
        <f>50000-10000</f>
        <v>40000</v>
      </c>
      <c r="J16" s="58">
        <v>40000</v>
      </c>
      <c r="K16" s="198">
        <f t="shared" si="1"/>
        <v>100</v>
      </c>
      <c r="L16" s="58"/>
      <c r="M16" s="58"/>
      <c r="N16" s="207"/>
      <c r="O16" s="58">
        <f t="shared" si="2"/>
        <v>40000</v>
      </c>
      <c r="P16" s="58">
        <f t="shared" si="3"/>
        <v>40000</v>
      </c>
      <c r="Q16" s="203">
        <f t="shared" si="4"/>
        <v>100</v>
      </c>
    </row>
    <row r="17" spans="2:17" x14ac:dyDescent="0.2">
      <c r="B17" s="72">
        <f t="shared" si="0"/>
        <v>8</v>
      </c>
      <c r="C17" s="12"/>
      <c r="D17" s="57"/>
      <c r="E17" s="12"/>
      <c r="F17" s="52"/>
      <c r="G17" s="12"/>
      <c r="H17" s="59" t="s">
        <v>335</v>
      </c>
      <c r="I17" s="58">
        <v>5000</v>
      </c>
      <c r="J17" s="58">
        <v>4781</v>
      </c>
      <c r="K17" s="198">
        <f t="shared" si="1"/>
        <v>95.62</v>
      </c>
      <c r="L17" s="58"/>
      <c r="M17" s="58"/>
      <c r="N17" s="207"/>
      <c r="O17" s="58">
        <f t="shared" si="2"/>
        <v>5000</v>
      </c>
      <c r="P17" s="58">
        <f t="shared" si="3"/>
        <v>4781</v>
      </c>
      <c r="Q17" s="203">
        <f t="shared" si="4"/>
        <v>95.62</v>
      </c>
    </row>
    <row r="18" spans="2:17" x14ac:dyDescent="0.2">
      <c r="B18" s="72">
        <f t="shared" si="0"/>
        <v>9</v>
      </c>
      <c r="C18" s="12"/>
      <c r="D18" s="57"/>
      <c r="E18" s="12"/>
      <c r="F18" s="52"/>
      <c r="G18" s="12"/>
      <c r="H18" s="59" t="s">
        <v>336</v>
      </c>
      <c r="I18" s="58">
        <f>8500+10000</f>
        <v>18500</v>
      </c>
      <c r="J18" s="58">
        <v>18200</v>
      </c>
      <c r="K18" s="198">
        <f t="shared" si="1"/>
        <v>98.378378378378386</v>
      </c>
      <c r="L18" s="58"/>
      <c r="M18" s="58"/>
      <c r="N18" s="207"/>
      <c r="O18" s="58">
        <f t="shared" si="2"/>
        <v>18500</v>
      </c>
      <c r="P18" s="58">
        <f t="shared" si="3"/>
        <v>18200</v>
      </c>
      <c r="Q18" s="203">
        <f t="shared" si="4"/>
        <v>98.378378378378386</v>
      </c>
    </row>
    <row r="19" spans="2:17" x14ac:dyDescent="0.2">
      <c r="B19" s="72">
        <f t="shared" si="0"/>
        <v>10</v>
      </c>
      <c r="C19" s="66"/>
      <c r="D19" s="67"/>
      <c r="E19" s="66"/>
      <c r="F19" s="69"/>
      <c r="G19" s="66"/>
      <c r="H19" s="79" t="s">
        <v>337</v>
      </c>
      <c r="I19" s="65">
        <f>3000+4000</f>
        <v>7000</v>
      </c>
      <c r="J19" s="65">
        <v>7000</v>
      </c>
      <c r="K19" s="198">
        <f t="shared" si="1"/>
        <v>100</v>
      </c>
      <c r="L19" s="65"/>
      <c r="M19" s="65"/>
      <c r="N19" s="208"/>
      <c r="O19" s="58">
        <f t="shared" si="2"/>
        <v>7000</v>
      </c>
      <c r="P19" s="58">
        <f t="shared" si="3"/>
        <v>7000</v>
      </c>
      <c r="Q19" s="203">
        <f t="shared" si="4"/>
        <v>100</v>
      </c>
    </row>
    <row r="20" spans="2:17" x14ac:dyDescent="0.2">
      <c r="B20" s="71">
        <f t="shared" si="0"/>
        <v>11</v>
      </c>
      <c r="C20" s="66"/>
      <c r="D20" s="67"/>
      <c r="E20" s="66"/>
      <c r="F20" s="69"/>
      <c r="G20" s="66"/>
      <c r="H20" s="79" t="s">
        <v>346</v>
      </c>
      <c r="I20" s="65">
        <v>2000</v>
      </c>
      <c r="J20" s="65">
        <v>2000</v>
      </c>
      <c r="K20" s="198">
        <f t="shared" si="1"/>
        <v>100</v>
      </c>
      <c r="L20" s="65"/>
      <c r="M20" s="65"/>
      <c r="N20" s="208"/>
      <c r="O20" s="65">
        <f t="shared" si="2"/>
        <v>2000</v>
      </c>
      <c r="P20" s="65">
        <f t="shared" si="3"/>
        <v>2000</v>
      </c>
      <c r="Q20" s="203">
        <f t="shared" si="4"/>
        <v>100</v>
      </c>
    </row>
    <row r="21" spans="2:17" x14ac:dyDescent="0.2">
      <c r="B21" s="71">
        <f t="shared" si="0"/>
        <v>12</v>
      </c>
      <c r="C21" s="66"/>
      <c r="D21" s="67"/>
      <c r="E21" s="66"/>
      <c r="F21" s="69"/>
      <c r="G21" s="66"/>
      <c r="H21" s="79" t="s">
        <v>347</v>
      </c>
      <c r="I21" s="65">
        <v>4000</v>
      </c>
      <c r="J21" s="65">
        <v>4000</v>
      </c>
      <c r="K21" s="198">
        <f t="shared" si="1"/>
        <v>100</v>
      </c>
      <c r="L21" s="65"/>
      <c r="M21" s="65"/>
      <c r="N21" s="208"/>
      <c r="O21" s="65">
        <f t="shared" si="2"/>
        <v>4000</v>
      </c>
      <c r="P21" s="65">
        <f t="shared" si="3"/>
        <v>4000</v>
      </c>
      <c r="Q21" s="203">
        <f t="shared" si="4"/>
        <v>100</v>
      </c>
    </row>
    <row r="22" spans="2:17" ht="24" x14ac:dyDescent="0.2">
      <c r="B22" s="71">
        <f t="shared" si="0"/>
        <v>13</v>
      </c>
      <c r="C22" s="66"/>
      <c r="D22" s="67"/>
      <c r="E22" s="66"/>
      <c r="F22" s="69"/>
      <c r="G22" s="66"/>
      <c r="H22" s="79" t="s">
        <v>536</v>
      </c>
      <c r="I22" s="65">
        <v>133448</v>
      </c>
      <c r="J22" s="65">
        <v>133448</v>
      </c>
      <c r="K22" s="198">
        <f t="shared" si="1"/>
        <v>100</v>
      </c>
      <c r="L22" s="65"/>
      <c r="M22" s="65"/>
      <c r="N22" s="208"/>
      <c r="O22" s="65">
        <f t="shared" si="2"/>
        <v>133448</v>
      </c>
      <c r="P22" s="65">
        <f t="shared" si="3"/>
        <v>133448</v>
      </c>
      <c r="Q22" s="203">
        <f t="shared" si="4"/>
        <v>100</v>
      </c>
    </row>
    <row r="23" spans="2:17" ht="24" x14ac:dyDescent="0.2">
      <c r="B23" s="71">
        <f t="shared" si="0"/>
        <v>14</v>
      </c>
      <c r="C23" s="66"/>
      <c r="D23" s="67"/>
      <c r="E23" s="66"/>
      <c r="F23" s="69"/>
      <c r="G23" s="66"/>
      <c r="H23" s="79" t="s">
        <v>537</v>
      </c>
      <c r="I23" s="65">
        <f>80274+10000</f>
        <v>90274</v>
      </c>
      <c r="J23" s="65">
        <v>90274</v>
      </c>
      <c r="K23" s="198">
        <f t="shared" si="1"/>
        <v>100</v>
      </c>
      <c r="L23" s="65"/>
      <c r="M23" s="65"/>
      <c r="N23" s="208"/>
      <c r="O23" s="65">
        <f t="shared" si="2"/>
        <v>90274</v>
      </c>
      <c r="P23" s="65">
        <f t="shared" si="3"/>
        <v>90274</v>
      </c>
      <c r="Q23" s="203">
        <f t="shared" si="4"/>
        <v>100</v>
      </c>
    </row>
    <row r="24" spans="2:17" ht="24" x14ac:dyDescent="0.2">
      <c r="B24" s="71">
        <f t="shared" si="0"/>
        <v>15</v>
      </c>
      <c r="C24" s="66"/>
      <c r="D24" s="67"/>
      <c r="E24" s="66"/>
      <c r="F24" s="69"/>
      <c r="G24" s="66"/>
      <c r="H24" s="79" t="s">
        <v>538</v>
      </c>
      <c r="I24" s="65">
        <v>33363</v>
      </c>
      <c r="J24" s="65">
        <v>33363</v>
      </c>
      <c r="K24" s="198">
        <f t="shared" si="1"/>
        <v>100</v>
      </c>
      <c r="L24" s="65"/>
      <c r="M24" s="65"/>
      <c r="N24" s="208"/>
      <c r="O24" s="65">
        <f t="shared" si="2"/>
        <v>33363</v>
      </c>
      <c r="P24" s="65">
        <f t="shared" si="3"/>
        <v>33363</v>
      </c>
      <c r="Q24" s="203">
        <f t="shared" si="4"/>
        <v>100</v>
      </c>
    </row>
    <row r="25" spans="2:17" ht="24" x14ac:dyDescent="0.2">
      <c r="B25" s="71">
        <f t="shared" si="0"/>
        <v>16</v>
      </c>
      <c r="C25" s="66"/>
      <c r="D25" s="67"/>
      <c r="E25" s="66"/>
      <c r="F25" s="69"/>
      <c r="G25" s="66"/>
      <c r="H25" s="79" t="s">
        <v>539</v>
      </c>
      <c r="I25" s="65">
        <v>18349</v>
      </c>
      <c r="J25" s="65">
        <v>18349</v>
      </c>
      <c r="K25" s="198">
        <f t="shared" si="1"/>
        <v>100</v>
      </c>
      <c r="L25" s="65"/>
      <c r="M25" s="65"/>
      <c r="N25" s="208"/>
      <c r="O25" s="65">
        <f t="shared" si="2"/>
        <v>18349</v>
      </c>
      <c r="P25" s="65">
        <f t="shared" si="3"/>
        <v>18349</v>
      </c>
      <c r="Q25" s="203">
        <f t="shared" si="4"/>
        <v>100</v>
      </c>
    </row>
    <row r="26" spans="2:17" x14ac:dyDescent="0.2">
      <c r="B26" s="71">
        <f t="shared" si="0"/>
        <v>17</v>
      </c>
      <c r="C26" s="66"/>
      <c r="D26" s="67"/>
      <c r="E26" s="66"/>
      <c r="F26" s="69"/>
      <c r="G26" s="66"/>
      <c r="H26" s="157" t="s">
        <v>651</v>
      </c>
      <c r="I26" s="134">
        <v>2500</v>
      </c>
      <c r="J26" s="134">
        <v>2500</v>
      </c>
      <c r="K26" s="198">
        <f t="shared" si="1"/>
        <v>100</v>
      </c>
      <c r="L26" s="134"/>
      <c r="M26" s="134"/>
      <c r="N26" s="208"/>
      <c r="O26" s="134">
        <f t="shared" si="2"/>
        <v>2500</v>
      </c>
      <c r="P26" s="134">
        <f t="shared" si="3"/>
        <v>2500</v>
      </c>
      <c r="Q26" s="203">
        <f t="shared" si="4"/>
        <v>100</v>
      </c>
    </row>
    <row r="27" spans="2:17" ht="24" x14ac:dyDescent="0.2">
      <c r="B27" s="71">
        <f t="shared" si="0"/>
        <v>18</v>
      </c>
      <c r="C27" s="66"/>
      <c r="D27" s="67"/>
      <c r="E27" s="66"/>
      <c r="F27" s="69"/>
      <c r="G27" s="66"/>
      <c r="H27" s="164" t="s">
        <v>665</v>
      </c>
      <c r="I27" s="149">
        <v>2500</v>
      </c>
      <c r="J27" s="149">
        <v>2500</v>
      </c>
      <c r="K27" s="198">
        <f t="shared" si="1"/>
        <v>100</v>
      </c>
      <c r="L27" s="149"/>
      <c r="M27" s="149"/>
      <c r="N27" s="208"/>
      <c r="O27" s="149">
        <f t="shared" si="2"/>
        <v>2500</v>
      </c>
      <c r="P27" s="149">
        <f t="shared" si="3"/>
        <v>2500</v>
      </c>
      <c r="Q27" s="203">
        <f t="shared" si="4"/>
        <v>100</v>
      </c>
    </row>
    <row r="28" spans="2:17" ht="24" x14ac:dyDescent="0.2">
      <c r="B28" s="71">
        <f t="shared" si="0"/>
        <v>19</v>
      </c>
      <c r="C28" s="66"/>
      <c r="D28" s="67"/>
      <c r="E28" s="66"/>
      <c r="F28" s="69"/>
      <c r="G28" s="66"/>
      <c r="H28" s="164" t="s">
        <v>696</v>
      </c>
      <c r="I28" s="149">
        <v>30000</v>
      </c>
      <c r="J28" s="149">
        <v>30000</v>
      </c>
      <c r="K28" s="198">
        <f t="shared" si="1"/>
        <v>100</v>
      </c>
      <c r="L28" s="149"/>
      <c r="M28" s="149"/>
      <c r="N28" s="208"/>
      <c r="O28" s="149">
        <f t="shared" si="2"/>
        <v>30000</v>
      </c>
      <c r="P28" s="149">
        <f t="shared" si="3"/>
        <v>30000</v>
      </c>
      <c r="Q28" s="203">
        <f t="shared" si="4"/>
        <v>100</v>
      </c>
    </row>
    <row r="29" spans="2:17" ht="24" x14ac:dyDescent="0.2">
      <c r="B29" s="71">
        <f t="shared" si="0"/>
        <v>20</v>
      </c>
      <c r="C29" s="66"/>
      <c r="D29" s="67"/>
      <c r="E29" s="66"/>
      <c r="F29" s="69"/>
      <c r="G29" s="66"/>
      <c r="H29" s="164" t="s">
        <v>749</v>
      </c>
      <c r="I29" s="149">
        <v>4000</v>
      </c>
      <c r="J29" s="149">
        <v>4000</v>
      </c>
      <c r="K29" s="198">
        <f t="shared" si="1"/>
        <v>100</v>
      </c>
      <c r="L29" s="149"/>
      <c r="M29" s="149"/>
      <c r="N29" s="208"/>
      <c r="O29" s="149">
        <f t="shared" si="2"/>
        <v>4000</v>
      </c>
      <c r="P29" s="149">
        <f t="shared" si="3"/>
        <v>4000</v>
      </c>
      <c r="Q29" s="203">
        <f t="shared" si="4"/>
        <v>100</v>
      </c>
    </row>
    <row r="30" spans="2:17" ht="24" x14ac:dyDescent="0.2">
      <c r="B30" s="71">
        <f t="shared" si="0"/>
        <v>21</v>
      </c>
      <c r="C30" s="66"/>
      <c r="D30" s="67"/>
      <c r="E30" s="66"/>
      <c r="F30" s="69"/>
      <c r="G30" s="66"/>
      <c r="H30" s="164" t="s">
        <v>758</v>
      </c>
      <c r="I30" s="149">
        <v>100000</v>
      </c>
      <c r="J30" s="149">
        <v>100000</v>
      </c>
      <c r="K30" s="198">
        <f t="shared" si="1"/>
        <v>100</v>
      </c>
      <c r="L30" s="149"/>
      <c r="M30" s="149"/>
      <c r="N30" s="208"/>
      <c r="O30" s="149">
        <f t="shared" si="2"/>
        <v>100000</v>
      </c>
      <c r="P30" s="149">
        <f t="shared" si="3"/>
        <v>100000</v>
      </c>
      <c r="Q30" s="203">
        <f t="shared" si="4"/>
        <v>100</v>
      </c>
    </row>
    <row r="31" spans="2:17" ht="15" x14ac:dyDescent="0.2">
      <c r="B31" s="71">
        <f t="shared" si="0"/>
        <v>22</v>
      </c>
      <c r="C31" s="179">
        <v>3</v>
      </c>
      <c r="D31" s="280" t="s">
        <v>210</v>
      </c>
      <c r="E31" s="279"/>
      <c r="F31" s="279"/>
      <c r="G31" s="279"/>
      <c r="H31" s="279"/>
      <c r="I31" s="45">
        <f>I92+I71+I49+I36+I32</f>
        <v>1254400</v>
      </c>
      <c r="J31" s="45">
        <f>J92+J71+J49+J36+J32</f>
        <v>1183527</v>
      </c>
      <c r="K31" s="198">
        <f t="shared" si="1"/>
        <v>94.350047831632651</v>
      </c>
      <c r="L31" s="45">
        <f>L92+L71+L49+L36+L32</f>
        <v>384500</v>
      </c>
      <c r="M31" s="45">
        <f>M92+M71+M49+M36+M32</f>
        <v>341739</v>
      </c>
      <c r="N31" s="220">
        <f t="shared" ref="N31:N82" si="5">M31/L31*100</f>
        <v>88.878803641092333</v>
      </c>
      <c r="O31" s="45">
        <f t="shared" si="2"/>
        <v>1638900</v>
      </c>
      <c r="P31" s="45">
        <f t="shared" si="3"/>
        <v>1525266</v>
      </c>
      <c r="Q31" s="203">
        <f t="shared" si="4"/>
        <v>93.066447007138933</v>
      </c>
    </row>
    <row r="32" spans="2:17" ht="15" x14ac:dyDescent="0.25">
      <c r="B32" s="71">
        <f t="shared" si="0"/>
        <v>23</v>
      </c>
      <c r="C32" s="178"/>
      <c r="D32" s="178">
        <v>1</v>
      </c>
      <c r="E32" s="278" t="s">
        <v>209</v>
      </c>
      <c r="F32" s="279"/>
      <c r="G32" s="279"/>
      <c r="H32" s="279"/>
      <c r="I32" s="46">
        <f>I33</f>
        <v>160750</v>
      </c>
      <c r="J32" s="46">
        <f>J33</f>
        <v>160724</v>
      </c>
      <c r="K32" s="198">
        <f t="shared" si="1"/>
        <v>99.983825816485222</v>
      </c>
      <c r="L32" s="46">
        <f>L33</f>
        <v>0</v>
      </c>
      <c r="M32" s="46">
        <f>M33</f>
        <v>0</v>
      </c>
      <c r="N32" s="220"/>
      <c r="O32" s="46">
        <f t="shared" si="2"/>
        <v>160750</v>
      </c>
      <c r="P32" s="46">
        <f t="shared" si="3"/>
        <v>160724</v>
      </c>
      <c r="Q32" s="203">
        <f t="shared" si="4"/>
        <v>99.983825816485222</v>
      </c>
    </row>
    <row r="33" spans="2:17" x14ac:dyDescent="0.2">
      <c r="B33" s="71">
        <f t="shared" si="0"/>
        <v>24</v>
      </c>
      <c r="C33" s="12"/>
      <c r="D33" s="12"/>
      <c r="E33" s="12"/>
      <c r="F33" s="52" t="s">
        <v>188</v>
      </c>
      <c r="G33" s="12">
        <v>630</v>
      </c>
      <c r="H33" s="12" t="s">
        <v>127</v>
      </c>
      <c r="I33" s="49">
        <f>I34+I35</f>
        <v>160750</v>
      </c>
      <c r="J33" s="49">
        <f>J34+J35</f>
        <v>160724</v>
      </c>
      <c r="K33" s="198">
        <f t="shared" si="1"/>
        <v>99.983825816485222</v>
      </c>
      <c r="L33" s="49">
        <v>0</v>
      </c>
      <c r="M33" s="49"/>
      <c r="N33" s="218"/>
      <c r="O33" s="49">
        <f t="shared" si="2"/>
        <v>160750</v>
      </c>
      <c r="P33" s="49">
        <f t="shared" si="3"/>
        <v>160724</v>
      </c>
      <c r="Q33" s="203">
        <f t="shared" si="4"/>
        <v>99.983825816485222</v>
      </c>
    </row>
    <row r="34" spans="2:17" x14ac:dyDescent="0.2">
      <c r="B34" s="71">
        <f t="shared" si="0"/>
        <v>25</v>
      </c>
      <c r="C34" s="4"/>
      <c r="D34" s="4"/>
      <c r="E34" s="4"/>
      <c r="F34" s="53" t="s">
        <v>188</v>
      </c>
      <c r="G34" s="4">
        <v>636</v>
      </c>
      <c r="H34" s="4" t="s">
        <v>132</v>
      </c>
      <c r="I34" s="23">
        <v>159950</v>
      </c>
      <c r="J34" s="23">
        <v>159950</v>
      </c>
      <c r="K34" s="198">
        <f t="shared" si="1"/>
        <v>100</v>
      </c>
      <c r="L34" s="23"/>
      <c r="M34" s="23"/>
      <c r="N34" s="218"/>
      <c r="O34" s="23">
        <f t="shared" si="2"/>
        <v>159950</v>
      </c>
      <c r="P34" s="23">
        <f t="shared" si="3"/>
        <v>159950</v>
      </c>
      <c r="Q34" s="203">
        <f t="shared" si="4"/>
        <v>100</v>
      </c>
    </row>
    <row r="35" spans="2:17" x14ac:dyDescent="0.2">
      <c r="B35" s="71">
        <f t="shared" si="0"/>
        <v>26</v>
      </c>
      <c r="C35" s="4"/>
      <c r="D35" s="4"/>
      <c r="E35" s="4"/>
      <c r="F35" s="53" t="s">
        <v>188</v>
      </c>
      <c r="G35" s="4">
        <v>637</v>
      </c>
      <c r="H35" s="4" t="s">
        <v>128</v>
      </c>
      <c r="I35" s="23">
        <v>800</v>
      </c>
      <c r="J35" s="23">
        <v>774</v>
      </c>
      <c r="K35" s="198">
        <f t="shared" si="1"/>
        <v>96.75</v>
      </c>
      <c r="L35" s="23"/>
      <c r="M35" s="23"/>
      <c r="N35" s="218"/>
      <c r="O35" s="23">
        <f t="shared" si="2"/>
        <v>800</v>
      </c>
      <c r="P35" s="23">
        <f t="shared" si="3"/>
        <v>774</v>
      </c>
      <c r="Q35" s="203">
        <f t="shared" si="4"/>
        <v>96.75</v>
      </c>
    </row>
    <row r="36" spans="2:17" ht="15" x14ac:dyDescent="0.25">
      <c r="B36" s="71">
        <f t="shared" si="0"/>
        <v>27</v>
      </c>
      <c r="C36" s="178"/>
      <c r="D36" s="178">
        <v>2</v>
      </c>
      <c r="E36" s="278" t="s">
        <v>211</v>
      </c>
      <c r="F36" s="279"/>
      <c r="G36" s="279"/>
      <c r="H36" s="279"/>
      <c r="I36" s="46">
        <f>I37+I44</f>
        <v>205780</v>
      </c>
      <c r="J36" s="46">
        <f>J37+J44</f>
        <v>205651</v>
      </c>
      <c r="K36" s="198">
        <f t="shared" si="1"/>
        <v>99.937311692098362</v>
      </c>
      <c r="L36" s="46">
        <f>L37+L44</f>
        <v>33000</v>
      </c>
      <c r="M36" s="46">
        <f>M37+M44</f>
        <v>28103</v>
      </c>
      <c r="N36" s="220">
        <f t="shared" si="5"/>
        <v>85.160606060606057</v>
      </c>
      <c r="O36" s="46">
        <f t="shared" si="2"/>
        <v>238780</v>
      </c>
      <c r="P36" s="46">
        <f t="shared" si="3"/>
        <v>233754</v>
      </c>
      <c r="Q36" s="203">
        <f t="shared" si="4"/>
        <v>97.895133595778532</v>
      </c>
    </row>
    <row r="37" spans="2:17" x14ac:dyDescent="0.2">
      <c r="B37" s="71">
        <f t="shared" si="0"/>
        <v>28</v>
      </c>
      <c r="C37" s="12"/>
      <c r="D37" s="12"/>
      <c r="E37" s="12"/>
      <c r="F37" s="52" t="s">
        <v>188</v>
      </c>
      <c r="G37" s="12">
        <v>630</v>
      </c>
      <c r="H37" s="12" t="s">
        <v>127</v>
      </c>
      <c r="I37" s="49">
        <f>I43+I42+I39+I38</f>
        <v>205780</v>
      </c>
      <c r="J37" s="49">
        <f>J43+J42+J39+J38</f>
        <v>205651</v>
      </c>
      <c r="K37" s="198">
        <f t="shared" si="1"/>
        <v>99.937311692098362</v>
      </c>
      <c r="L37" s="49">
        <f>L43+L42+L39</f>
        <v>0</v>
      </c>
      <c r="M37" s="49">
        <f>M43+M42+M39</f>
        <v>0</v>
      </c>
      <c r="N37" s="218"/>
      <c r="O37" s="49">
        <f t="shared" si="2"/>
        <v>205780</v>
      </c>
      <c r="P37" s="49">
        <f t="shared" si="3"/>
        <v>205651</v>
      </c>
      <c r="Q37" s="203">
        <f t="shared" si="4"/>
        <v>99.937311692098362</v>
      </c>
    </row>
    <row r="38" spans="2:17" x14ac:dyDescent="0.2">
      <c r="B38" s="71">
        <f t="shared" si="0"/>
        <v>29</v>
      </c>
      <c r="C38" s="12"/>
      <c r="D38" s="12"/>
      <c r="E38" s="12"/>
      <c r="F38" s="52" t="s">
        <v>188</v>
      </c>
      <c r="G38" s="12">
        <v>630</v>
      </c>
      <c r="H38" s="157" t="s">
        <v>690</v>
      </c>
      <c r="I38" s="134">
        <v>1500</v>
      </c>
      <c r="J38" s="134">
        <v>1458</v>
      </c>
      <c r="K38" s="198">
        <f t="shared" si="1"/>
        <v>97.2</v>
      </c>
      <c r="L38" s="134"/>
      <c r="M38" s="134"/>
      <c r="N38" s="219"/>
      <c r="O38" s="134">
        <f t="shared" si="2"/>
        <v>1500</v>
      </c>
      <c r="P38" s="134">
        <f t="shared" si="3"/>
        <v>1458</v>
      </c>
      <c r="Q38" s="203">
        <f t="shared" si="4"/>
        <v>97.2</v>
      </c>
    </row>
    <row r="39" spans="2:17" x14ac:dyDescent="0.2">
      <c r="B39" s="71">
        <f t="shared" si="0"/>
        <v>30</v>
      </c>
      <c r="C39" s="4"/>
      <c r="D39" s="4"/>
      <c r="E39" s="4"/>
      <c r="F39" s="53" t="s">
        <v>188</v>
      </c>
      <c r="G39" s="4">
        <v>632</v>
      </c>
      <c r="H39" s="4" t="s">
        <v>138</v>
      </c>
      <c r="I39" s="23">
        <f>I40+I41</f>
        <v>3200</v>
      </c>
      <c r="J39" s="23">
        <f>J40+J41</f>
        <v>3160</v>
      </c>
      <c r="K39" s="198">
        <f t="shared" si="1"/>
        <v>98.75</v>
      </c>
      <c r="L39" s="23"/>
      <c r="M39" s="23"/>
      <c r="N39" s="218"/>
      <c r="O39" s="23">
        <f t="shared" si="2"/>
        <v>3200</v>
      </c>
      <c r="P39" s="23">
        <f t="shared" si="3"/>
        <v>3160</v>
      </c>
      <c r="Q39" s="203">
        <f t="shared" si="4"/>
        <v>98.75</v>
      </c>
    </row>
    <row r="40" spans="2:17" x14ac:dyDescent="0.2">
      <c r="B40" s="71">
        <f t="shared" si="0"/>
        <v>31</v>
      </c>
      <c r="C40" s="4"/>
      <c r="D40" s="4"/>
      <c r="E40" s="4"/>
      <c r="F40" s="53"/>
      <c r="G40" s="4"/>
      <c r="H40" s="4" t="s">
        <v>277</v>
      </c>
      <c r="I40" s="23">
        <v>1000</v>
      </c>
      <c r="J40" s="23">
        <v>1000</v>
      </c>
      <c r="K40" s="198">
        <f t="shared" si="1"/>
        <v>100</v>
      </c>
      <c r="L40" s="23"/>
      <c r="M40" s="23"/>
      <c r="N40" s="218"/>
      <c r="O40" s="23">
        <f t="shared" si="2"/>
        <v>1000</v>
      </c>
      <c r="P40" s="23">
        <f t="shared" si="3"/>
        <v>1000</v>
      </c>
      <c r="Q40" s="203">
        <f t="shared" si="4"/>
        <v>100</v>
      </c>
    </row>
    <row r="41" spans="2:17" x14ac:dyDescent="0.2">
      <c r="B41" s="71">
        <f t="shared" si="0"/>
        <v>32</v>
      </c>
      <c r="C41" s="4"/>
      <c r="D41" s="4"/>
      <c r="E41" s="4"/>
      <c r="F41" s="53"/>
      <c r="G41" s="4"/>
      <c r="H41" s="4" t="s">
        <v>349</v>
      </c>
      <c r="I41" s="23">
        <v>2200</v>
      </c>
      <c r="J41" s="23">
        <v>2160</v>
      </c>
      <c r="K41" s="198">
        <f t="shared" si="1"/>
        <v>98.181818181818187</v>
      </c>
      <c r="L41" s="23"/>
      <c r="M41" s="23"/>
      <c r="N41" s="218"/>
      <c r="O41" s="23">
        <f t="shared" si="2"/>
        <v>2200</v>
      </c>
      <c r="P41" s="23">
        <f t="shared" si="3"/>
        <v>2160</v>
      </c>
      <c r="Q41" s="203">
        <f t="shared" si="4"/>
        <v>98.181818181818187</v>
      </c>
    </row>
    <row r="42" spans="2:17" x14ac:dyDescent="0.2">
      <c r="B42" s="71">
        <f t="shared" ref="B42:B94" si="6">B41+1</f>
        <v>33</v>
      </c>
      <c r="C42" s="4"/>
      <c r="D42" s="4"/>
      <c r="E42" s="4"/>
      <c r="F42" s="53" t="s">
        <v>188</v>
      </c>
      <c r="G42" s="4">
        <v>636</v>
      </c>
      <c r="H42" s="4" t="s">
        <v>132</v>
      </c>
      <c r="I42" s="58">
        <f>40000+160000</f>
        <v>200000</v>
      </c>
      <c r="J42" s="58">
        <v>200000</v>
      </c>
      <c r="K42" s="198">
        <f t="shared" si="1"/>
        <v>100</v>
      </c>
      <c r="L42" s="23"/>
      <c r="M42" s="23"/>
      <c r="N42" s="218"/>
      <c r="O42" s="23">
        <f t="shared" ref="O42:O73" si="7">I42+L42</f>
        <v>200000</v>
      </c>
      <c r="P42" s="23">
        <f t="shared" ref="P42:P73" si="8">J42+M42</f>
        <v>200000</v>
      </c>
      <c r="Q42" s="203">
        <f t="shared" ref="Q42:Q72" si="9">P42/O42*100</f>
        <v>100</v>
      </c>
    </row>
    <row r="43" spans="2:17" x14ac:dyDescent="0.2">
      <c r="B43" s="71">
        <f t="shared" si="6"/>
        <v>34</v>
      </c>
      <c r="C43" s="4"/>
      <c r="D43" s="4"/>
      <c r="E43" s="4"/>
      <c r="F43" s="53" t="s">
        <v>188</v>
      </c>
      <c r="G43" s="4">
        <v>637</v>
      </c>
      <c r="H43" s="4" t="s">
        <v>128</v>
      </c>
      <c r="I43" s="23">
        <v>1080</v>
      </c>
      <c r="J43" s="23">
        <v>1033</v>
      </c>
      <c r="K43" s="198">
        <f t="shared" si="1"/>
        <v>95.648148148148152</v>
      </c>
      <c r="L43" s="23"/>
      <c r="M43" s="23"/>
      <c r="N43" s="218"/>
      <c r="O43" s="23">
        <f t="shared" si="7"/>
        <v>1080</v>
      </c>
      <c r="P43" s="23">
        <f t="shared" si="8"/>
        <v>1033</v>
      </c>
      <c r="Q43" s="203">
        <f t="shared" si="9"/>
        <v>95.648148148148152</v>
      </c>
    </row>
    <row r="44" spans="2:17" x14ac:dyDescent="0.2">
      <c r="B44" s="71">
        <f t="shared" si="6"/>
        <v>35</v>
      </c>
      <c r="C44" s="12"/>
      <c r="D44" s="12"/>
      <c r="E44" s="12"/>
      <c r="F44" s="52" t="s">
        <v>188</v>
      </c>
      <c r="G44" s="12">
        <v>710</v>
      </c>
      <c r="H44" s="12" t="s">
        <v>183</v>
      </c>
      <c r="I44" s="49">
        <f>I45</f>
        <v>0</v>
      </c>
      <c r="J44" s="49">
        <f>J45</f>
        <v>0</v>
      </c>
      <c r="K44" s="198"/>
      <c r="L44" s="49">
        <f>L45</f>
        <v>33000</v>
      </c>
      <c r="M44" s="49">
        <f>M45</f>
        <v>28103</v>
      </c>
      <c r="N44" s="218">
        <f t="shared" si="5"/>
        <v>85.160606060606057</v>
      </c>
      <c r="O44" s="49">
        <f t="shared" si="7"/>
        <v>33000</v>
      </c>
      <c r="P44" s="49">
        <f t="shared" si="8"/>
        <v>28103</v>
      </c>
      <c r="Q44" s="203">
        <f t="shared" si="9"/>
        <v>85.160606060606057</v>
      </c>
    </row>
    <row r="45" spans="2:17" x14ac:dyDescent="0.2">
      <c r="B45" s="72">
        <f t="shared" si="6"/>
        <v>36</v>
      </c>
      <c r="C45" s="4"/>
      <c r="D45" s="4"/>
      <c r="E45" s="4"/>
      <c r="F45" s="82" t="s">
        <v>188</v>
      </c>
      <c r="G45" s="83">
        <v>717</v>
      </c>
      <c r="H45" s="83" t="s">
        <v>193</v>
      </c>
      <c r="I45" s="84"/>
      <c r="J45" s="84"/>
      <c r="K45" s="198"/>
      <c r="L45" s="84">
        <f>SUM(L46:L48)</f>
        <v>33000</v>
      </c>
      <c r="M45" s="84">
        <f>SUM(M46:M48)</f>
        <v>28103</v>
      </c>
      <c r="N45" s="218">
        <f t="shared" si="5"/>
        <v>85.160606060606057</v>
      </c>
      <c r="O45" s="84">
        <f t="shared" si="7"/>
        <v>33000</v>
      </c>
      <c r="P45" s="84">
        <f t="shared" si="8"/>
        <v>28103</v>
      </c>
      <c r="Q45" s="203">
        <f t="shared" si="9"/>
        <v>85.160606060606057</v>
      </c>
    </row>
    <row r="46" spans="2:17" x14ac:dyDescent="0.2">
      <c r="B46" s="72">
        <f t="shared" si="6"/>
        <v>37</v>
      </c>
      <c r="C46" s="4"/>
      <c r="D46" s="4"/>
      <c r="E46" s="4"/>
      <c r="F46" s="53"/>
      <c r="G46" s="4"/>
      <c r="H46" s="4" t="s">
        <v>441</v>
      </c>
      <c r="I46" s="23"/>
      <c r="J46" s="23"/>
      <c r="K46" s="198"/>
      <c r="L46" s="23">
        <v>11500</v>
      </c>
      <c r="M46" s="23">
        <v>8454</v>
      </c>
      <c r="N46" s="218">
        <f t="shared" si="5"/>
        <v>73.513043478260869</v>
      </c>
      <c r="O46" s="23">
        <f t="shared" si="7"/>
        <v>11500</v>
      </c>
      <c r="P46" s="23">
        <f t="shared" si="8"/>
        <v>8454</v>
      </c>
      <c r="Q46" s="203">
        <f t="shared" si="9"/>
        <v>73.513043478260869</v>
      </c>
    </row>
    <row r="47" spans="2:17" x14ac:dyDescent="0.2">
      <c r="B47" s="72">
        <f t="shared" si="6"/>
        <v>38</v>
      </c>
      <c r="C47" s="4"/>
      <c r="D47" s="4"/>
      <c r="E47" s="4"/>
      <c r="F47" s="53"/>
      <c r="G47" s="4"/>
      <c r="H47" s="140" t="s">
        <v>681</v>
      </c>
      <c r="I47" s="127"/>
      <c r="J47" s="127"/>
      <c r="K47" s="198"/>
      <c r="L47" s="127">
        <v>14000</v>
      </c>
      <c r="M47" s="127">
        <v>13319</v>
      </c>
      <c r="N47" s="219">
        <f t="shared" si="5"/>
        <v>95.135714285714286</v>
      </c>
      <c r="O47" s="127">
        <f t="shared" si="7"/>
        <v>14000</v>
      </c>
      <c r="P47" s="127">
        <f t="shared" si="8"/>
        <v>13319</v>
      </c>
      <c r="Q47" s="203">
        <f t="shared" si="9"/>
        <v>95.135714285714286</v>
      </c>
    </row>
    <row r="48" spans="2:17" x14ac:dyDescent="0.2">
      <c r="B48" s="72">
        <f t="shared" si="6"/>
        <v>39</v>
      </c>
      <c r="C48" s="4"/>
      <c r="D48" s="4"/>
      <c r="E48" s="4"/>
      <c r="F48" s="53"/>
      <c r="G48" s="4"/>
      <c r="H48" s="4" t="s">
        <v>486</v>
      </c>
      <c r="I48" s="23"/>
      <c r="J48" s="23"/>
      <c r="K48" s="198"/>
      <c r="L48" s="23">
        <v>7500</v>
      </c>
      <c r="M48" s="23">
        <v>6330</v>
      </c>
      <c r="N48" s="218">
        <f t="shared" si="5"/>
        <v>84.399999999999991</v>
      </c>
      <c r="O48" s="23">
        <f t="shared" si="7"/>
        <v>7500</v>
      </c>
      <c r="P48" s="23">
        <f t="shared" si="8"/>
        <v>6330</v>
      </c>
      <c r="Q48" s="203">
        <f t="shared" si="9"/>
        <v>84.399999999999991</v>
      </c>
    </row>
    <row r="49" spans="2:17" ht="15" x14ac:dyDescent="0.25">
      <c r="B49" s="72">
        <f t="shared" si="6"/>
        <v>40</v>
      </c>
      <c r="C49" s="178"/>
      <c r="D49" s="178">
        <v>3</v>
      </c>
      <c r="E49" s="278" t="s">
        <v>212</v>
      </c>
      <c r="F49" s="279"/>
      <c r="G49" s="279"/>
      <c r="H49" s="279"/>
      <c r="I49" s="46">
        <f>I50+I52+I60</f>
        <v>432005</v>
      </c>
      <c r="J49" s="46">
        <f>J50+J52+J60</f>
        <v>406954</v>
      </c>
      <c r="K49" s="198">
        <f>J49/I49*100</f>
        <v>94.201224522864322</v>
      </c>
      <c r="L49" s="46">
        <f>L50+L52+L60</f>
        <v>203000</v>
      </c>
      <c r="M49" s="46">
        <f>M50+M52+M60</f>
        <v>185822</v>
      </c>
      <c r="N49" s="220">
        <f t="shared" si="5"/>
        <v>91.537931034482753</v>
      </c>
      <c r="O49" s="46">
        <f t="shared" si="7"/>
        <v>635005</v>
      </c>
      <c r="P49" s="46">
        <f t="shared" si="8"/>
        <v>592776</v>
      </c>
      <c r="Q49" s="203">
        <f t="shared" si="9"/>
        <v>93.349816143179979</v>
      </c>
    </row>
    <row r="50" spans="2:17" x14ac:dyDescent="0.2">
      <c r="B50" s="72">
        <f t="shared" si="6"/>
        <v>41</v>
      </c>
      <c r="C50" s="12"/>
      <c r="D50" s="12"/>
      <c r="E50" s="12"/>
      <c r="F50" s="52" t="s">
        <v>188</v>
      </c>
      <c r="G50" s="12">
        <v>630</v>
      </c>
      <c r="H50" s="12" t="s">
        <v>127</v>
      </c>
      <c r="I50" s="49">
        <f>I51</f>
        <v>2670</v>
      </c>
      <c r="J50" s="49">
        <f>J51</f>
        <v>2632</v>
      </c>
      <c r="K50" s="198">
        <f>J50/I50*100</f>
        <v>98.576779026217238</v>
      </c>
      <c r="L50" s="49">
        <f>L51</f>
        <v>0</v>
      </c>
      <c r="M50" s="49">
        <f>M51</f>
        <v>0</v>
      </c>
      <c r="N50" s="218"/>
      <c r="O50" s="49">
        <f t="shared" si="7"/>
        <v>2670</v>
      </c>
      <c r="P50" s="49">
        <f t="shared" si="8"/>
        <v>2632</v>
      </c>
      <c r="Q50" s="203">
        <f t="shared" si="9"/>
        <v>98.576779026217238</v>
      </c>
    </row>
    <row r="51" spans="2:17" x14ac:dyDescent="0.2">
      <c r="B51" s="72">
        <f t="shared" si="6"/>
        <v>42</v>
      </c>
      <c r="C51" s="4"/>
      <c r="D51" s="4"/>
      <c r="E51" s="4"/>
      <c r="F51" s="53" t="s">
        <v>188</v>
      </c>
      <c r="G51" s="4">
        <v>637</v>
      </c>
      <c r="H51" s="4" t="s">
        <v>128</v>
      </c>
      <c r="I51" s="23">
        <v>2670</v>
      </c>
      <c r="J51" s="23">
        <v>2632</v>
      </c>
      <c r="K51" s="198">
        <f>J51/I51*100</f>
        <v>98.576779026217238</v>
      </c>
      <c r="L51" s="23"/>
      <c r="M51" s="23"/>
      <c r="N51" s="218"/>
      <c r="O51" s="23">
        <f t="shared" si="7"/>
        <v>2670</v>
      </c>
      <c r="P51" s="23">
        <f t="shared" si="8"/>
        <v>2632</v>
      </c>
      <c r="Q51" s="203">
        <f t="shared" si="9"/>
        <v>98.576779026217238</v>
      </c>
    </row>
    <row r="52" spans="2:17" x14ac:dyDescent="0.2">
      <c r="B52" s="72">
        <f t="shared" si="6"/>
        <v>43</v>
      </c>
      <c r="C52" s="12"/>
      <c r="D52" s="12"/>
      <c r="E52" s="12"/>
      <c r="F52" s="52" t="s">
        <v>188</v>
      </c>
      <c r="G52" s="12">
        <v>710</v>
      </c>
      <c r="H52" s="12" t="s">
        <v>183</v>
      </c>
      <c r="I52" s="49">
        <v>0</v>
      </c>
      <c r="J52" s="49">
        <v>0</v>
      </c>
      <c r="K52" s="198"/>
      <c r="L52" s="49">
        <f>L53+L57</f>
        <v>203000</v>
      </c>
      <c r="M52" s="49">
        <f>M53+M57</f>
        <v>185822</v>
      </c>
      <c r="N52" s="218">
        <f t="shared" si="5"/>
        <v>91.537931034482753</v>
      </c>
      <c r="O52" s="49">
        <f t="shared" si="7"/>
        <v>203000</v>
      </c>
      <c r="P52" s="49">
        <f t="shared" si="8"/>
        <v>185822</v>
      </c>
      <c r="Q52" s="203">
        <f t="shared" si="9"/>
        <v>91.537931034482753</v>
      </c>
    </row>
    <row r="53" spans="2:17" x14ac:dyDescent="0.2">
      <c r="B53" s="72">
        <f t="shared" si="6"/>
        <v>44</v>
      </c>
      <c r="C53" s="12"/>
      <c r="D53" s="12"/>
      <c r="E53" s="12"/>
      <c r="F53" s="82" t="s">
        <v>188</v>
      </c>
      <c r="G53" s="83">
        <v>716</v>
      </c>
      <c r="H53" s="83" t="s">
        <v>0</v>
      </c>
      <c r="I53" s="84"/>
      <c r="J53" s="84"/>
      <c r="K53" s="198"/>
      <c r="L53" s="84">
        <f>L54+L55+L56</f>
        <v>13800</v>
      </c>
      <c r="M53" s="84">
        <f>M54+M55+M56</f>
        <v>3800</v>
      </c>
      <c r="N53" s="218">
        <f t="shared" si="5"/>
        <v>27.536231884057973</v>
      </c>
      <c r="O53" s="84">
        <f t="shared" si="7"/>
        <v>13800</v>
      </c>
      <c r="P53" s="84">
        <f t="shared" si="8"/>
        <v>3800</v>
      </c>
      <c r="Q53" s="203">
        <f t="shared" si="9"/>
        <v>27.536231884057973</v>
      </c>
    </row>
    <row r="54" spans="2:17" x14ac:dyDescent="0.2">
      <c r="B54" s="72">
        <f t="shared" si="6"/>
        <v>45</v>
      </c>
      <c r="C54" s="12"/>
      <c r="D54" s="12"/>
      <c r="E54" s="12"/>
      <c r="F54" s="52"/>
      <c r="G54" s="12"/>
      <c r="H54" s="4" t="s">
        <v>458</v>
      </c>
      <c r="I54" s="49"/>
      <c r="J54" s="49"/>
      <c r="K54" s="198"/>
      <c r="L54" s="58">
        <v>2000</v>
      </c>
      <c r="M54" s="58">
        <v>2000</v>
      </c>
      <c r="N54" s="218">
        <f t="shared" si="5"/>
        <v>100</v>
      </c>
      <c r="O54" s="58">
        <f t="shared" si="7"/>
        <v>2000</v>
      </c>
      <c r="P54" s="58">
        <f t="shared" si="8"/>
        <v>2000</v>
      </c>
      <c r="Q54" s="203">
        <f t="shared" si="9"/>
        <v>100</v>
      </c>
    </row>
    <row r="55" spans="2:17" x14ac:dyDescent="0.2">
      <c r="B55" s="72">
        <f t="shared" si="6"/>
        <v>46</v>
      </c>
      <c r="C55" s="12"/>
      <c r="D55" s="12"/>
      <c r="E55" s="12"/>
      <c r="F55" s="52"/>
      <c r="G55" s="12"/>
      <c r="H55" s="4" t="s">
        <v>503</v>
      </c>
      <c r="I55" s="49"/>
      <c r="J55" s="49"/>
      <c r="K55" s="198"/>
      <c r="L55" s="58">
        <v>1800</v>
      </c>
      <c r="M55" s="58">
        <v>1800</v>
      </c>
      <c r="N55" s="218">
        <f t="shared" si="5"/>
        <v>100</v>
      </c>
      <c r="O55" s="58">
        <f t="shared" si="7"/>
        <v>1800</v>
      </c>
      <c r="P55" s="58">
        <f t="shared" si="8"/>
        <v>1800</v>
      </c>
      <c r="Q55" s="203">
        <f t="shared" si="9"/>
        <v>100</v>
      </c>
    </row>
    <row r="56" spans="2:17" x14ac:dyDescent="0.2">
      <c r="B56" s="72">
        <f t="shared" si="6"/>
        <v>47</v>
      </c>
      <c r="C56" s="12"/>
      <c r="D56" s="12"/>
      <c r="E56" s="12"/>
      <c r="F56" s="52"/>
      <c r="G56" s="12"/>
      <c r="H56" s="4" t="s">
        <v>744</v>
      </c>
      <c r="I56" s="49"/>
      <c r="J56" s="49"/>
      <c r="K56" s="198"/>
      <c r="L56" s="58">
        <v>10000</v>
      </c>
      <c r="M56" s="58">
        <v>0</v>
      </c>
      <c r="N56" s="218">
        <f t="shared" si="5"/>
        <v>0</v>
      </c>
      <c r="O56" s="58">
        <f t="shared" si="7"/>
        <v>10000</v>
      </c>
      <c r="P56" s="58">
        <f t="shared" si="8"/>
        <v>0</v>
      </c>
      <c r="Q56" s="203">
        <f t="shared" si="9"/>
        <v>0</v>
      </c>
    </row>
    <row r="57" spans="2:17" x14ac:dyDescent="0.2">
      <c r="B57" s="72">
        <f t="shared" si="6"/>
        <v>48</v>
      </c>
      <c r="C57" s="4"/>
      <c r="D57" s="4"/>
      <c r="E57" s="4"/>
      <c r="F57" s="82" t="s">
        <v>188</v>
      </c>
      <c r="G57" s="83">
        <v>717</v>
      </c>
      <c r="H57" s="83" t="s">
        <v>193</v>
      </c>
      <c r="I57" s="84"/>
      <c r="J57" s="84"/>
      <c r="K57" s="198"/>
      <c r="L57" s="84">
        <f>SUM(L58:L59)</f>
        <v>189200</v>
      </c>
      <c r="M57" s="84">
        <f>SUM(M58:M59)</f>
        <v>182022</v>
      </c>
      <c r="N57" s="218">
        <f t="shared" si="5"/>
        <v>96.206131078224104</v>
      </c>
      <c r="O57" s="84">
        <f t="shared" si="7"/>
        <v>189200</v>
      </c>
      <c r="P57" s="84">
        <f t="shared" si="8"/>
        <v>182022</v>
      </c>
      <c r="Q57" s="203">
        <f t="shared" si="9"/>
        <v>96.206131078224104</v>
      </c>
    </row>
    <row r="58" spans="2:17" x14ac:dyDescent="0.2">
      <c r="B58" s="72">
        <f t="shared" si="6"/>
        <v>49</v>
      </c>
      <c r="C58" s="4"/>
      <c r="D58" s="4"/>
      <c r="E58" s="4"/>
      <c r="F58" s="53"/>
      <c r="G58" s="4"/>
      <c r="H58" s="4" t="s">
        <v>625</v>
      </c>
      <c r="I58" s="23"/>
      <c r="J58" s="23"/>
      <c r="K58" s="198"/>
      <c r="L58" s="23">
        <f>200000-1800+34000-85000</f>
        <v>147200</v>
      </c>
      <c r="M58" s="23">
        <f>34000+62500+43622</f>
        <v>140122</v>
      </c>
      <c r="N58" s="218">
        <f t="shared" si="5"/>
        <v>95.191576086956516</v>
      </c>
      <c r="O58" s="23">
        <f t="shared" si="7"/>
        <v>147200</v>
      </c>
      <c r="P58" s="23">
        <f t="shared" si="8"/>
        <v>140122</v>
      </c>
      <c r="Q58" s="203">
        <f t="shared" si="9"/>
        <v>95.191576086956516</v>
      </c>
    </row>
    <row r="59" spans="2:17" x14ac:dyDescent="0.2">
      <c r="B59" s="72">
        <f t="shared" si="6"/>
        <v>50</v>
      </c>
      <c r="C59" s="4"/>
      <c r="D59" s="4"/>
      <c r="E59" s="4"/>
      <c r="F59" s="53"/>
      <c r="G59" s="4"/>
      <c r="H59" s="4" t="s">
        <v>458</v>
      </c>
      <c r="I59" s="23"/>
      <c r="J59" s="23"/>
      <c r="K59" s="198"/>
      <c r="L59" s="23">
        <f>55000-2000-8000-3000</f>
        <v>42000</v>
      </c>
      <c r="M59" s="23">
        <v>41900</v>
      </c>
      <c r="N59" s="218">
        <f t="shared" si="5"/>
        <v>99.761904761904759</v>
      </c>
      <c r="O59" s="23">
        <f t="shared" si="7"/>
        <v>42000</v>
      </c>
      <c r="P59" s="23">
        <f t="shared" si="8"/>
        <v>41900</v>
      </c>
      <c r="Q59" s="203">
        <f t="shared" si="9"/>
        <v>99.761904761904759</v>
      </c>
    </row>
    <row r="60" spans="2:17" ht="15" x14ac:dyDescent="0.25">
      <c r="B60" s="72">
        <f t="shared" si="6"/>
        <v>51</v>
      </c>
      <c r="C60" s="15"/>
      <c r="D60" s="15"/>
      <c r="E60" s="15">
        <v>2</v>
      </c>
      <c r="F60" s="50"/>
      <c r="G60" s="15"/>
      <c r="H60" s="15" t="s">
        <v>256</v>
      </c>
      <c r="I60" s="47">
        <f>I61+I62+I63+I70+I69</f>
        <v>429335</v>
      </c>
      <c r="J60" s="47">
        <f>J61+J62+J63+J70+J69</f>
        <v>404322</v>
      </c>
      <c r="K60" s="198">
        <f t="shared" ref="K60:K76" si="10">J60/I60*100</f>
        <v>94.174013299637821</v>
      </c>
      <c r="L60" s="47">
        <f>L61+L62+L63+L70</f>
        <v>0</v>
      </c>
      <c r="M60" s="47">
        <f>M61+M62+M63+M70</f>
        <v>0</v>
      </c>
      <c r="N60" s="218"/>
      <c r="O60" s="47">
        <f t="shared" si="7"/>
        <v>429335</v>
      </c>
      <c r="P60" s="47">
        <f t="shared" si="8"/>
        <v>404322</v>
      </c>
      <c r="Q60" s="203">
        <f t="shared" si="9"/>
        <v>94.174013299637821</v>
      </c>
    </row>
    <row r="61" spans="2:17" x14ac:dyDescent="0.2">
      <c r="B61" s="72">
        <f t="shared" si="6"/>
        <v>52</v>
      </c>
      <c r="C61" s="12"/>
      <c r="D61" s="12"/>
      <c r="E61" s="12"/>
      <c r="F61" s="52" t="s">
        <v>188</v>
      </c>
      <c r="G61" s="12">
        <v>610</v>
      </c>
      <c r="H61" s="12" t="s">
        <v>135</v>
      </c>
      <c r="I61" s="49">
        <f>96000+3400</f>
        <v>99400</v>
      </c>
      <c r="J61" s="49">
        <v>99400</v>
      </c>
      <c r="K61" s="198">
        <f t="shared" si="10"/>
        <v>100</v>
      </c>
      <c r="L61" s="49"/>
      <c r="M61" s="49"/>
      <c r="N61" s="218"/>
      <c r="O61" s="49">
        <f t="shared" si="7"/>
        <v>99400</v>
      </c>
      <c r="P61" s="49">
        <f t="shared" si="8"/>
        <v>99400</v>
      </c>
      <c r="Q61" s="203">
        <f t="shared" si="9"/>
        <v>100</v>
      </c>
    </row>
    <row r="62" spans="2:17" x14ac:dyDescent="0.2">
      <c r="B62" s="72">
        <f t="shared" si="6"/>
        <v>53</v>
      </c>
      <c r="C62" s="12"/>
      <c r="D62" s="12"/>
      <c r="E62" s="12"/>
      <c r="F62" s="52" t="s">
        <v>188</v>
      </c>
      <c r="G62" s="12">
        <v>620</v>
      </c>
      <c r="H62" s="12" t="s">
        <v>130</v>
      </c>
      <c r="I62" s="49">
        <f>34145+1300</f>
        <v>35445</v>
      </c>
      <c r="J62" s="49">
        <v>33994</v>
      </c>
      <c r="K62" s="198">
        <f t="shared" si="10"/>
        <v>95.906333756524191</v>
      </c>
      <c r="L62" s="49"/>
      <c r="M62" s="49"/>
      <c r="N62" s="218"/>
      <c r="O62" s="49">
        <f t="shared" si="7"/>
        <v>35445</v>
      </c>
      <c r="P62" s="49">
        <f t="shared" si="8"/>
        <v>33994</v>
      </c>
      <c r="Q62" s="203">
        <f t="shared" si="9"/>
        <v>95.906333756524191</v>
      </c>
    </row>
    <row r="63" spans="2:17" x14ac:dyDescent="0.2">
      <c r="B63" s="72">
        <f t="shared" si="6"/>
        <v>54</v>
      </c>
      <c r="C63" s="12"/>
      <c r="D63" s="12"/>
      <c r="E63" s="12"/>
      <c r="F63" s="52" t="s">
        <v>188</v>
      </c>
      <c r="G63" s="12">
        <v>630</v>
      </c>
      <c r="H63" s="12" t="s">
        <v>127</v>
      </c>
      <c r="I63" s="49">
        <f>SUM(I64:I68)</f>
        <v>283654</v>
      </c>
      <c r="J63" s="49">
        <f>SUM(J64:J68)</f>
        <v>260150</v>
      </c>
      <c r="K63" s="198">
        <f t="shared" si="10"/>
        <v>91.713848561980441</v>
      </c>
      <c r="L63" s="49">
        <f>SUM(L64:L68)</f>
        <v>0</v>
      </c>
      <c r="M63" s="49">
        <f>SUM(M64:M68)</f>
        <v>0</v>
      </c>
      <c r="N63" s="218"/>
      <c r="O63" s="49">
        <f t="shared" si="7"/>
        <v>283654</v>
      </c>
      <c r="P63" s="49">
        <f t="shared" si="8"/>
        <v>260150</v>
      </c>
      <c r="Q63" s="203">
        <f t="shared" si="9"/>
        <v>91.713848561980441</v>
      </c>
    </row>
    <row r="64" spans="2:17" x14ac:dyDescent="0.2">
      <c r="B64" s="72">
        <f t="shared" si="6"/>
        <v>55</v>
      </c>
      <c r="C64" s="4"/>
      <c r="D64" s="4"/>
      <c r="E64" s="4"/>
      <c r="F64" s="53" t="s">
        <v>188</v>
      </c>
      <c r="G64" s="4">
        <v>632</v>
      </c>
      <c r="H64" s="4" t="s">
        <v>138</v>
      </c>
      <c r="I64" s="23">
        <f>206470-20436+25000</f>
        <v>211034</v>
      </c>
      <c r="J64" s="23">
        <f>206713-10436</f>
        <v>196277</v>
      </c>
      <c r="K64" s="198">
        <f t="shared" si="10"/>
        <v>93.007287925168455</v>
      </c>
      <c r="L64" s="23"/>
      <c r="M64" s="23"/>
      <c r="N64" s="218"/>
      <c r="O64" s="23">
        <f t="shared" si="7"/>
        <v>211034</v>
      </c>
      <c r="P64" s="23">
        <f t="shared" si="8"/>
        <v>196277</v>
      </c>
      <c r="Q64" s="203">
        <f t="shared" si="9"/>
        <v>93.007287925168455</v>
      </c>
    </row>
    <row r="65" spans="2:17" x14ac:dyDescent="0.2">
      <c r="B65" s="72">
        <f t="shared" si="6"/>
        <v>56</v>
      </c>
      <c r="C65" s="4"/>
      <c r="D65" s="4"/>
      <c r="E65" s="4"/>
      <c r="F65" s="53" t="s">
        <v>188</v>
      </c>
      <c r="G65" s="4">
        <v>633</v>
      </c>
      <c r="H65" s="4" t="s">
        <v>131</v>
      </c>
      <c r="I65" s="23">
        <f>12200+300+4500+5000</f>
        <v>22000</v>
      </c>
      <c r="J65" s="23">
        <v>16954</v>
      </c>
      <c r="K65" s="198">
        <f t="shared" si="10"/>
        <v>77.063636363636363</v>
      </c>
      <c r="L65" s="23"/>
      <c r="M65" s="23"/>
      <c r="N65" s="218"/>
      <c r="O65" s="23">
        <f t="shared" si="7"/>
        <v>22000</v>
      </c>
      <c r="P65" s="23">
        <f t="shared" si="8"/>
        <v>16954</v>
      </c>
      <c r="Q65" s="203">
        <f t="shared" si="9"/>
        <v>77.063636363636363</v>
      </c>
    </row>
    <row r="66" spans="2:17" x14ac:dyDescent="0.2">
      <c r="B66" s="72">
        <f t="shared" si="6"/>
        <v>57</v>
      </c>
      <c r="C66" s="4"/>
      <c r="D66" s="4"/>
      <c r="E66" s="4"/>
      <c r="F66" s="53" t="s">
        <v>188</v>
      </c>
      <c r="G66" s="4">
        <v>635</v>
      </c>
      <c r="H66" s="4" t="s">
        <v>137</v>
      </c>
      <c r="I66" s="23">
        <f>10000-150+3250-6150+6150</f>
        <v>13100</v>
      </c>
      <c r="J66" s="23">
        <v>11406</v>
      </c>
      <c r="K66" s="198">
        <f t="shared" si="10"/>
        <v>87.068702290076345</v>
      </c>
      <c r="L66" s="23"/>
      <c r="M66" s="23"/>
      <c r="N66" s="218"/>
      <c r="O66" s="23">
        <f t="shared" si="7"/>
        <v>13100</v>
      </c>
      <c r="P66" s="23">
        <f t="shared" si="8"/>
        <v>11406</v>
      </c>
      <c r="Q66" s="203">
        <f t="shared" si="9"/>
        <v>87.068702290076345</v>
      </c>
    </row>
    <row r="67" spans="2:17" x14ac:dyDescent="0.2">
      <c r="B67" s="72">
        <f t="shared" si="6"/>
        <v>58</v>
      </c>
      <c r="C67" s="4"/>
      <c r="D67" s="4"/>
      <c r="E67" s="4"/>
      <c r="F67" s="53" t="s">
        <v>188</v>
      </c>
      <c r="G67" s="4">
        <v>636</v>
      </c>
      <c r="H67" s="4" t="s">
        <v>132</v>
      </c>
      <c r="I67" s="23">
        <v>200</v>
      </c>
      <c r="J67" s="23">
        <v>20</v>
      </c>
      <c r="K67" s="198">
        <f t="shared" si="10"/>
        <v>10</v>
      </c>
      <c r="L67" s="23"/>
      <c r="M67" s="23"/>
      <c r="N67" s="218"/>
      <c r="O67" s="23">
        <f t="shared" si="7"/>
        <v>200</v>
      </c>
      <c r="P67" s="23">
        <f t="shared" si="8"/>
        <v>20</v>
      </c>
      <c r="Q67" s="203">
        <f t="shared" si="9"/>
        <v>10</v>
      </c>
    </row>
    <row r="68" spans="2:17" x14ac:dyDescent="0.2">
      <c r="B68" s="72">
        <f t="shared" si="6"/>
        <v>59</v>
      </c>
      <c r="C68" s="4"/>
      <c r="D68" s="4"/>
      <c r="E68" s="4"/>
      <c r="F68" s="53" t="s">
        <v>188</v>
      </c>
      <c r="G68" s="4">
        <v>637</v>
      </c>
      <c r="H68" s="4" t="s">
        <v>128</v>
      </c>
      <c r="I68" s="23">
        <f>33200+520+600+3000</f>
        <v>37320</v>
      </c>
      <c r="J68" s="23">
        <v>35493</v>
      </c>
      <c r="K68" s="198">
        <f t="shared" si="10"/>
        <v>95.10450160771704</v>
      </c>
      <c r="L68" s="23"/>
      <c r="M68" s="23"/>
      <c r="N68" s="218"/>
      <c r="O68" s="23">
        <f t="shared" si="7"/>
        <v>37320</v>
      </c>
      <c r="P68" s="23">
        <f t="shared" si="8"/>
        <v>35493</v>
      </c>
      <c r="Q68" s="203">
        <f t="shared" si="9"/>
        <v>95.10450160771704</v>
      </c>
    </row>
    <row r="69" spans="2:17" x14ac:dyDescent="0.2">
      <c r="B69" s="72">
        <f t="shared" si="6"/>
        <v>60</v>
      </c>
      <c r="C69" s="4"/>
      <c r="D69" s="4"/>
      <c r="E69" s="4"/>
      <c r="F69" s="53" t="s">
        <v>188</v>
      </c>
      <c r="G69" s="3">
        <v>630</v>
      </c>
      <c r="H69" s="167" t="s">
        <v>694</v>
      </c>
      <c r="I69" s="49">
        <v>10436</v>
      </c>
      <c r="J69" s="49">
        <v>10436</v>
      </c>
      <c r="K69" s="198">
        <f t="shared" si="10"/>
        <v>100</v>
      </c>
      <c r="L69" s="22"/>
      <c r="M69" s="22"/>
      <c r="N69" s="218"/>
      <c r="O69" s="49">
        <f t="shared" si="7"/>
        <v>10436</v>
      </c>
      <c r="P69" s="49">
        <f t="shared" si="8"/>
        <v>10436</v>
      </c>
      <c r="Q69" s="203">
        <f t="shared" si="9"/>
        <v>100</v>
      </c>
    </row>
    <row r="70" spans="2:17" x14ac:dyDescent="0.2">
      <c r="B70" s="72">
        <f t="shared" si="6"/>
        <v>61</v>
      </c>
      <c r="C70" s="12"/>
      <c r="D70" s="12"/>
      <c r="E70" s="12"/>
      <c r="F70" s="52" t="s">
        <v>188</v>
      </c>
      <c r="G70" s="12">
        <v>640</v>
      </c>
      <c r="H70" s="12" t="s">
        <v>134</v>
      </c>
      <c r="I70" s="49">
        <f>100+150+150</f>
        <v>400</v>
      </c>
      <c r="J70" s="49">
        <v>342</v>
      </c>
      <c r="K70" s="198">
        <f t="shared" si="10"/>
        <v>85.5</v>
      </c>
      <c r="L70" s="49"/>
      <c r="M70" s="49"/>
      <c r="N70" s="218"/>
      <c r="O70" s="49">
        <f t="shared" si="7"/>
        <v>400</v>
      </c>
      <c r="P70" s="49">
        <f t="shared" si="8"/>
        <v>342</v>
      </c>
      <c r="Q70" s="203">
        <f t="shared" si="9"/>
        <v>85.5</v>
      </c>
    </row>
    <row r="71" spans="2:17" ht="15" x14ac:dyDescent="0.25">
      <c r="B71" s="72">
        <f t="shared" si="6"/>
        <v>62</v>
      </c>
      <c r="C71" s="178"/>
      <c r="D71" s="178">
        <v>4</v>
      </c>
      <c r="E71" s="278" t="s">
        <v>213</v>
      </c>
      <c r="F71" s="279"/>
      <c r="G71" s="279"/>
      <c r="H71" s="279"/>
      <c r="I71" s="46">
        <f>I72+I77+I83</f>
        <v>439765</v>
      </c>
      <c r="J71" s="46">
        <f>J72+J77+J83</f>
        <v>398374</v>
      </c>
      <c r="K71" s="198">
        <f t="shared" si="10"/>
        <v>90.58792764317306</v>
      </c>
      <c r="L71" s="46">
        <f>L72+L77+L83</f>
        <v>148500</v>
      </c>
      <c r="M71" s="46">
        <f>M72+M77+M83</f>
        <v>127814</v>
      </c>
      <c r="N71" s="220">
        <f t="shared" si="5"/>
        <v>86.070033670033681</v>
      </c>
      <c r="O71" s="46">
        <f t="shared" si="7"/>
        <v>588265</v>
      </c>
      <c r="P71" s="46">
        <f t="shared" si="8"/>
        <v>526188</v>
      </c>
      <c r="Q71" s="203">
        <f t="shared" si="9"/>
        <v>89.447442904133339</v>
      </c>
    </row>
    <row r="72" spans="2:17" x14ac:dyDescent="0.2">
      <c r="B72" s="72">
        <f t="shared" si="6"/>
        <v>63</v>
      </c>
      <c r="C72" s="12"/>
      <c r="D72" s="12"/>
      <c r="E72" s="12"/>
      <c r="F72" s="52" t="s">
        <v>188</v>
      </c>
      <c r="G72" s="12">
        <v>630</v>
      </c>
      <c r="H72" s="12" t="s">
        <v>127</v>
      </c>
      <c r="I72" s="49">
        <f>I76+I73+I75+I74</f>
        <v>58760</v>
      </c>
      <c r="J72" s="49">
        <f>J76+J73+J75+J74</f>
        <v>34383</v>
      </c>
      <c r="K72" s="198">
        <f t="shared" si="10"/>
        <v>58.514295439074203</v>
      </c>
      <c r="L72" s="49">
        <f>L76</f>
        <v>0</v>
      </c>
      <c r="M72" s="49">
        <f>M76</f>
        <v>0</v>
      </c>
      <c r="N72" s="218"/>
      <c r="O72" s="49">
        <f t="shared" si="7"/>
        <v>58760</v>
      </c>
      <c r="P72" s="49">
        <f t="shared" si="8"/>
        <v>34383</v>
      </c>
      <c r="Q72" s="203">
        <f t="shared" si="9"/>
        <v>58.514295439074203</v>
      </c>
    </row>
    <row r="73" spans="2:17" x14ac:dyDescent="0.2">
      <c r="B73" s="72">
        <f t="shared" si="6"/>
        <v>64</v>
      </c>
      <c r="C73" s="12"/>
      <c r="D73" s="12"/>
      <c r="E73" s="12"/>
      <c r="F73" s="53" t="s">
        <v>188</v>
      </c>
      <c r="G73" s="4">
        <v>632</v>
      </c>
      <c r="H73" s="4" t="s">
        <v>138</v>
      </c>
      <c r="I73" s="23">
        <f>800+700+35000</f>
        <v>36500</v>
      </c>
      <c r="J73" s="23">
        <v>21636</v>
      </c>
      <c r="K73" s="198">
        <f t="shared" si="10"/>
        <v>59.276712328767125</v>
      </c>
      <c r="L73" s="23"/>
      <c r="M73" s="23"/>
      <c r="N73" s="218"/>
      <c r="O73" s="23">
        <f t="shared" si="7"/>
        <v>36500</v>
      </c>
      <c r="P73" s="23">
        <f t="shared" si="8"/>
        <v>21636</v>
      </c>
      <c r="Q73" s="203">
        <f t="shared" ref="Q73:Q103" si="11">P73/O73*100</f>
        <v>59.276712328767125</v>
      </c>
    </row>
    <row r="74" spans="2:17" x14ac:dyDescent="0.2">
      <c r="B74" s="72">
        <f t="shared" si="6"/>
        <v>65</v>
      </c>
      <c r="C74" s="12"/>
      <c r="D74" s="12"/>
      <c r="E74" s="12"/>
      <c r="F74" s="53" t="s">
        <v>188</v>
      </c>
      <c r="G74" s="4">
        <v>633</v>
      </c>
      <c r="H74" s="4" t="s">
        <v>131</v>
      </c>
      <c r="I74" s="23">
        <v>1000</v>
      </c>
      <c r="J74" s="23">
        <v>276</v>
      </c>
      <c r="K74" s="198">
        <f t="shared" si="10"/>
        <v>27.6</v>
      </c>
      <c r="L74" s="23"/>
      <c r="M74" s="23"/>
      <c r="N74" s="218"/>
      <c r="O74" s="23">
        <f t="shared" ref="O74" si="12">I74+L74</f>
        <v>1000</v>
      </c>
      <c r="P74" s="23">
        <f t="shared" ref="P74" si="13">J74+M74</f>
        <v>276</v>
      </c>
      <c r="Q74" s="203">
        <f t="shared" si="11"/>
        <v>27.6</v>
      </c>
    </row>
    <row r="75" spans="2:17" x14ac:dyDescent="0.2">
      <c r="B75" s="72">
        <f t="shared" si="6"/>
        <v>66</v>
      </c>
      <c r="C75" s="12"/>
      <c r="D75" s="12"/>
      <c r="E75" s="12"/>
      <c r="F75" s="53" t="s">
        <v>188</v>
      </c>
      <c r="G75" s="4">
        <v>635</v>
      </c>
      <c r="H75" s="4" t="s">
        <v>736</v>
      </c>
      <c r="I75" s="23">
        <f>20000-1000</f>
        <v>19000</v>
      </c>
      <c r="J75" s="23">
        <v>10553</v>
      </c>
      <c r="K75" s="198">
        <f t="shared" si="10"/>
        <v>55.542105263157893</v>
      </c>
      <c r="L75" s="23"/>
      <c r="M75" s="23"/>
      <c r="N75" s="218"/>
      <c r="O75" s="23">
        <f t="shared" ref="O75:P78" si="14">I75+L75</f>
        <v>19000</v>
      </c>
      <c r="P75" s="23">
        <f t="shared" si="14"/>
        <v>10553</v>
      </c>
      <c r="Q75" s="203">
        <f t="shared" si="11"/>
        <v>55.542105263157893</v>
      </c>
    </row>
    <row r="76" spans="2:17" x14ac:dyDescent="0.2">
      <c r="B76" s="72">
        <f t="shared" si="6"/>
        <v>67</v>
      </c>
      <c r="C76" s="4"/>
      <c r="D76" s="4"/>
      <c r="E76" s="4"/>
      <c r="F76" s="53" t="s">
        <v>188</v>
      </c>
      <c r="G76" s="4">
        <v>637</v>
      </c>
      <c r="H76" s="4" t="s">
        <v>128</v>
      </c>
      <c r="I76" s="23">
        <f>2260+700-700</f>
        <v>2260</v>
      </c>
      <c r="J76" s="23">
        <v>1918</v>
      </c>
      <c r="K76" s="198">
        <f t="shared" si="10"/>
        <v>84.86725663716814</v>
      </c>
      <c r="L76" s="23"/>
      <c r="M76" s="23"/>
      <c r="N76" s="218"/>
      <c r="O76" s="23">
        <f t="shared" si="14"/>
        <v>2260</v>
      </c>
      <c r="P76" s="23">
        <f t="shared" si="14"/>
        <v>1918</v>
      </c>
      <c r="Q76" s="203">
        <f t="shared" si="11"/>
        <v>84.86725663716814</v>
      </c>
    </row>
    <row r="77" spans="2:17" x14ac:dyDescent="0.2">
      <c r="B77" s="72">
        <f t="shared" si="6"/>
        <v>68</v>
      </c>
      <c r="C77" s="12"/>
      <c r="D77" s="12"/>
      <c r="E77" s="12"/>
      <c r="F77" s="52" t="s">
        <v>188</v>
      </c>
      <c r="G77" s="12">
        <v>710</v>
      </c>
      <c r="H77" s="12" t="s">
        <v>183</v>
      </c>
      <c r="I77" s="49">
        <v>0</v>
      </c>
      <c r="J77" s="49"/>
      <c r="K77" s="198"/>
      <c r="L77" s="49">
        <f>L78+L81</f>
        <v>148500</v>
      </c>
      <c r="M77" s="49">
        <f>M78+M81</f>
        <v>127814</v>
      </c>
      <c r="N77" s="218">
        <f t="shared" si="5"/>
        <v>86.070033670033681</v>
      </c>
      <c r="O77" s="49">
        <f t="shared" si="14"/>
        <v>148500</v>
      </c>
      <c r="P77" s="49">
        <f t="shared" si="14"/>
        <v>127814</v>
      </c>
      <c r="Q77" s="203">
        <f t="shared" si="11"/>
        <v>86.070033670033681</v>
      </c>
    </row>
    <row r="78" spans="2:17" x14ac:dyDescent="0.2">
      <c r="B78" s="72">
        <f t="shared" si="6"/>
        <v>69</v>
      </c>
      <c r="C78" s="12"/>
      <c r="D78" s="12"/>
      <c r="E78" s="12"/>
      <c r="F78" s="82" t="s">
        <v>188</v>
      </c>
      <c r="G78" s="83">
        <v>716</v>
      </c>
      <c r="H78" s="83" t="s">
        <v>0</v>
      </c>
      <c r="I78" s="84"/>
      <c r="J78" s="84"/>
      <c r="K78" s="198"/>
      <c r="L78" s="84">
        <f>L79+L80</f>
        <v>11000</v>
      </c>
      <c r="M78" s="84">
        <f>M79+M80</f>
        <v>980</v>
      </c>
      <c r="N78" s="218">
        <f t="shared" si="5"/>
        <v>8.9090909090909101</v>
      </c>
      <c r="O78" s="84">
        <f t="shared" si="14"/>
        <v>11000</v>
      </c>
      <c r="P78" s="84">
        <f t="shared" si="14"/>
        <v>980</v>
      </c>
      <c r="Q78" s="203">
        <f t="shared" si="11"/>
        <v>8.9090909090909101</v>
      </c>
    </row>
    <row r="79" spans="2:17" x14ac:dyDescent="0.2">
      <c r="B79" s="72">
        <f t="shared" si="6"/>
        <v>70</v>
      </c>
      <c r="C79" s="12"/>
      <c r="D79" s="12"/>
      <c r="E79" s="12"/>
      <c r="F79" s="52"/>
      <c r="G79" s="12"/>
      <c r="H79" s="151" t="s">
        <v>633</v>
      </c>
      <c r="I79" s="49"/>
      <c r="J79" s="49"/>
      <c r="K79" s="198"/>
      <c r="L79" s="58">
        <v>1000</v>
      </c>
      <c r="M79" s="58">
        <v>980</v>
      </c>
      <c r="N79" s="218">
        <f t="shared" si="5"/>
        <v>98</v>
      </c>
      <c r="O79" s="58">
        <f>L79</f>
        <v>1000</v>
      </c>
      <c r="P79" s="58">
        <f>M79</f>
        <v>980</v>
      </c>
      <c r="Q79" s="203">
        <f t="shared" si="11"/>
        <v>98</v>
      </c>
    </row>
    <row r="80" spans="2:17" x14ac:dyDescent="0.2">
      <c r="B80" s="72">
        <f t="shared" si="6"/>
        <v>71</v>
      </c>
      <c r="C80" s="12"/>
      <c r="D80" s="12"/>
      <c r="E80" s="12"/>
      <c r="F80" s="52"/>
      <c r="G80" s="12"/>
      <c r="H80" s="4" t="s">
        <v>744</v>
      </c>
      <c r="I80" s="49"/>
      <c r="J80" s="49"/>
      <c r="K80" s="198"/>
      <c r="L80" s="58">
        <v>10000</v>
      </c>
      <c r="M80" s="58">
        <v>0</v>
      </c>
      <c r="N80" s="218">
        <f t="shared" si="5"/>
        <v>0</v>
      </c>
      <c r="O80" s="58">
        <f t="shared" ref="O80:O110" si="15">I80+L80</f>
        <v>10000</v>
      </c>
      <c r="P80" s="58">
        <f t="shared" ref="P80:P110" si="16">J80+M80</f>
        <v>0</v>
      </c>
      <c r="Q80" s="203">
        <f t="shared" si="11"/>
        <v>0</v>
      </c>
    </row>
    <row r="81" spans="2:17" x14ac:dyDescent="0.2">
      <c r="B81" s="72">
        <f t="shared" si="6"/>
        <v>72</v>
      </c>
      <c r="C81" s="4"/>
      <c r="D81" s="4"/>
      <c r="E81" s="4"/>
      <c r="F81" s="82" t="s">
        <v>188</v>
      </c>
      <c r="G81" s="83">
        <v>717</v>
      </c>
      <c r="H81" s="83" t="s">
        <v>193</v>
      </c>
      <c r="I81" s="84"/>
      <c r="J81" s="84"/>
      <c r="K81" s="198"/>
      <c r="L81" s="84">
        <f>SUM(L82:L82)</f>
        <v>137500</v>
      </c>
      <c r="M81" s="84">
        <f>SUM(M82:M82)</f>
        <v>126834</v>
      </c>
      <c r="N81" s="218">
        <f t="shared" si="5"/>
        <v>92.24290909090908</v>
      </c>
      <c r="O81" s="84">
        <f t="shared" si="15"/>
        <v>137500</v>
      </c>
      <c r="P81" s="84">
        <f t="shared" si="16"/>
        <v>126834</v>
      </c>
      <c r="Q81" s="203">
        <f t="shared" si="11"/>
        <v>92.24290909090908</v>
      </c>
    </row>
    <row r="82" spans="2:17" x14ac:dyDescent="0.2">
      <c r="B82" s="72">
        <f t="shared" si="6"/>
        <v>73</v>
      </c>
      <c r="C82" s="4"/>
      <c r="D82" s="4"/>
      <c r="E82" s="4"/>
      <c r="F82" s="53"/>
      <c r="G82" s="4"/>
      <c r="H82" s="4" t="s">
        <v>460</v>
      </c>
      <c r="I82" s="23"/>
      <c r="J82" s="23"/>
      <c r="K82" s="198"/>
      <c r="L82" s="23">
        <f>130000-1500-1000+10000</f>
        <v>137500</v>
      </c>
      <c r="M82" s="23">
        <v>126834</v>
      </c>
      <c r="N82" s="218">
        <f t="shared" si="5"/>
        <v>92.24290909090908</v>
      </c>
      <c r="O82" s="23">
        <f t="shared" si="15"/>
        <v>137500</v>
      </c>
      <c r="P82" s="23">
        <f t="shared" si="16"/>
        <v>126834</v>
      </c>
      <c r="Q82" s="203">
        <f t="shared" si="11"/>
        <v>92.24290909090908</v>
      </c>
    </row>
    <row r="83" spans="2:17" ht="15" x14ac:dyDescent="0.25">
      <c r="B83" s="72">
        <f t="shared" si="6"/>
        <v>74</v>
      </c>
      <c r="C83" s="15"/>
      <c r="D83" s="15"/>
      <c r="E83" s="15">
        <v>2</v>
      </c>
      <c r="F83" s="50"/>
      <c r="G83" s="15"/>
      <c r="H83" s="15" t="s">
        <v>256</v>
      </c>
      <c r="I83" s="47">
        <f>I84+I85+I86+I91</f>
        <v>381005</v>
      </c>
      <c r="J83" s="47">
        <f>J84+J85+J86+J91</f>
        <v>363991</v>
      </c>
      <c r="K83" s="198">
        <f t="shared" ref="K83:K102" si="17">J83/I83*100</f>
        <v>95.534441805225654</v>
      </c>
      <c r="L83" s="47">
        <v>0</v>
      </c>
      <c r="M83" s="47"/>
      <c r="N83" s="218"/>
      <c r="O83" s="47">
        <f t="shared" si="15"/>
        <v>381005</v>
      </c>
      <c r="P83" s="47">
        <f t="shared" si="16"/>
        <v>363991</v>
      </c>
      <c r="Q83" s="203">
        <f t="shared" si="11"/>
        <v>95.534441805225654</v>
      </c>
    </row>
    <row r="84" spans="2:17" x14ac:dyDescent="0.2">
      <c r="B84" s="72">
        <f t="shared" si="6"/>
        <v>75</v>
      </c>
      <c r="C84" s="12"/>
      <c r="D84" s="12"/>
      <c r="E84" s="12"/>
      <c r="F84" s="52" t="s">
        <v>188</v>
      </c>
      <c r="G84" s="12">
        <v>610</v>
      </c>
      <c r="H84" s="12" t="s">
        <v>135</v>
      </c>
      <c r="I84" s="49">
        <v>116000</v>
      </c>
      <c r="J84" s="49">
        <v>116000</v>
      </c>
      <c r="K84" s="198">
        <f t="shared" si="17"/>
        <v>100</v>
      </c>
      <c r="L84" s="49"/>
      <c r="M84" s="49"/>
      <c r="N84" s="218"/>
      <c r="O84" s="49">
        <f t="shared" si="15"/>
        <v>116000</v>
      </c>
      <c r="P84" s="49">
        <f t="shared" si="16"/>
        <v>116000</v>
      </c>
      <c r="Q84" s="203">
        <f t="shared" si="11"/>
        <v>100</v>
      </c>
    </row>
    <row r="85" spans="2:17" x14ac:dyDescent="0.2">
      <c r="B85" s="72">
        <f t="shared" si="6"/>
        <v>76</v>
      </c>
      <c r="C85" s="12"/>
      <c r="D85" s="12"/>
      <c r="E85" s="12"/>
      <c r="F85" s="52" t="s">
        <v>188</v>
      </c>
      <c r="G85" s="12">
        <v>620</v>
      </c>
      <c r="H85" s="12" t="s">
        <v>130</v>
      </c>
      <c r="I85" s="49">
        <f>52500-10000</f>
        <v>42500</v>
      </c>
      <c r="J85" s="49">
        <f>40762+592</f>
        <v>41354</v>
      </c>
      <c r="K85" s="198">
        <f t="shared" si="17"/>
        <v>97.303529411764714</v>
      </c>
      <c r="L85" s="49"/>
      <c r="M85" s="49"/>
      <c r="N85" s="218"/>
      <c r="O85" s="49">
        <f t="shared" si="15"/>
        <v>42500</v>
      </c>
      <c r="P85" s="49">
        <f t="shared" si="16"/>
        <v>41354</v>
      </c>
      <c r="Q85" s="203">
        <f t="shared" si="11"/>
        <v>97.303529411764714</v>
      </c>
    </row>
    <row r="86" spans="2:17" x14ac:dyDescent="0.2">
      <c r="B86" s="72">
        <f t="shared" si="6"/>
        <v>77</v>
      </c>
      <c r="C86" s="12"/>
      <c r="D86" s="12"/>
      <c r="E86" s="12"/>
      <c r="F86" s="52" t="s">
        <v>188</v>
      </c>
      <c r="G86" s="12">
        <v>630</v>
      </c>
      <c r="H86" s="12" t="s">
        <v>127</v>
      </c>
      <c r="I86" s="49">
        <f>I90+I89+I88+I87</f>
        <v>222155</v>
      </c>
      <c r="J86" s="49">
        <f>J90+J89+J88+J87</f>
        <v>206411</v>
      </c>
      <c r="K86" s="198">
        <f t="shared" si="17"/>
        <v>92.913056199500346</v>
      </c>
      <c r="L86" s="49">
        <f>SUM(L87:L90)</f>
        <v>0</v>
      </c>
      <c r="M86" s="49">
        <f>SUM(M87:M90)</f>
        <v>0</v>
      </c>
      <c r="N86" s="218"/>
      <c r="O86" s="49">
        <f t="shared" si="15"/>
        <v>222155</v>
      </c>
      <c r="P86" s="49">
        <f t="shared" si="16"/>
        <v>206411</v>
      </c>
      <c r="Q86" s="203">
        <f t="shared" si="11"/>
        <v>92.913056199500346</v>
      </c>
    </row>
    <row r="87" spans="2:17" x14ac:dyDescent="0.2">
      <c r="B87" s="72">
        <f t="shared" si="6"/>
        <v>78</v>
      </c>
      <c r="C87" s="4"/>
      <c r="D87" s="4"/>
      <c r="E87" s="4"/>
      <c r="F87" s="53" t="s">
        <v>188</v>
      </c>
      <c r="G87" s="4">
        <v>632</v>
      </c>
      <c r="H87" s="4" t="s">
        <v>138</v>
      </c>
      <c r="I87" s="23">
        <f>189000-4500-35000+8000+650</f>
        <v>158150</v>
      </c>
      <c r="J87" s="23">
        <v>155480</v>
      </c>
      <c r="K87" s="198">
        <f t="shared" si="17"/>
        <v>98.311729370850458</v>
      </c>
      <c r="L87" s="23"/>
      <c r="M87" s="23"/>
      <c r="N87" s="218"/>
      <c r="O87" s="23">
        <f t="shared" si="15"/>
        <v>158150</v>
      </c>
      <c r="P87" s="23">
        <f t="shared" si="16"/>
        <v>155480</v>
      </c>
      <c r="Q87" s="203">
        <f t="shared" si="11"/>
        <v>98.311729370850458</v>
      </c>
    </row>
    <row r="88" spans="2:17" x14ac:dyDescent="0.2">
      <c r="B88" s="72">
        <f t="shared" si="6"/>
        <v>79</v>
      </c>
      <c r="C88" s="4"/>
      <c r="D88" s="4"/>
      <c r="E88" s="4"/>
      <c r="F88" s="53" t="s">
        <v>188</v>
      </c>
      <c r="G88" s="4">
        <v>633</v>
      </c>
      <c r="H88" s="4" t="s">
        <v>131</v>
      </c>
      <c r="I88" s="23">
        <f>33115-9000</f>
        <v>24115</v>
      </c>
      <c r="J88" s="23">
        <f>16718+5862</f>
        <v>22580</v>
      </c>
      <c r="K88" s="198">
        <f t="shared" si="17"/>
        <v>93.634667219572876</v>
      </c>
      <c r="L88" s="23"/>
      <c r="M88" s="23"/>
      <c r="N88" s="218"/>
      <c r="O88" s="23">
        <f t="shared" si="15"/>
        <v>24115</v>
      </c>
      <c r="P88" s="23">
        <f t="shared" si="16"/>
        <v>22580</v>
      </c>
      <c r="Q88" s="203">
        <f t="shared" si="11"/>
        <v>93.634667219572876</v>
      </c>
    </row>
    <row r="89" spans="2:17" x14ac:dyDescent="0.2">
      <c r="B89" s="72">
        <f t="shared" si="6"/>
        <v>80</v>
      </c>
      <c r="C89" s="4"/>
      <c r="D89" s="4"/>
      <c r="E89" s="4"/>
      <c r="F89" s="53" t="s">
        <v>188</v>
      </c>
      <c r="G89" s="4">
        <v>635</v>
      </c>
      <c r="H89" s="4" t="s">
        <v>137</v>
      </c>
      <c r="I89" s="23">
        <f>26600-2500-4100-650</f>
        <v>19350</v>
      </c>
      <c r="J89" s="23">
        <f>9375+1630</f>
        <v>11005</v>
      </c>
      <c r="K89" s="198">
        <f t="shared" si="17"/>
        <v>56.873385012919897</v>
      </c>
      <c r="L89" s="23"/>
      <c r="M89" s="23"/>
      <c r="N89" s="218"/>
      <c r="O89" s="23">
        <f t="shared" si="15"/>
        <v>19350</v>
      </c>
      <c r="P89" s="23">
        <f t="shared" si="16"/>
        <v>11005</v>
      </c>
      <c r="Q89" s="203">
        <f t="shared" si="11"/>
        <v>56.873385012919897</v>
      </c>
    </row>
    <row r="90" spans="2:17" x14ac:dyDescent="0.2">
      <c r="B90" s="72">
        <f t="shared" si="6"/>
        <v>81</v>
      </c>
      <c r="C90" s="4"/>
      <c r="D90" s="4"/>
      <c r="E90" s="4"/>
      <c r="F90" s="53" t="s">
        <v>188</v>
      </c>
      <c r="G90" s="4">
        <v>637</v>
      </c>
      <c r="H90" s="4" t="s">
        <v>128</v>
      </c>
      <c r="I90" s="23">
        <f>49650+540+2250-5000-20000-6900</f>
        <v>20540</v>
      </c>
      <c r="J90" s="23">
        <f>15381+1965</f>
        <v>17346</v>
      </c>
      <c r="K90" s="198">
        <f t="shared" si="17"/>
        <v>84.449853943524829</v>
      </c>
      <c r="L90" s="23"/>
      <c r="M90" s="23"/>
      <c r="N90" s="218"/>
      <c r="O90" s="23">
        <f t="shared" si="15"/>
        <v>20540</v>
      </c>
      <c r="P90" s="23">
        <f t="shared" si="16"/>
        <v>17346</v>
      </c>
      <c r="Q90" s="203">
        <f t="shared" si="11"/>
        <v>84.449853943524829</v>
      </c>
    </row>
    <row r="91" spans="2:17" x14ac:dyDescent="0.2">
      <c r="B91" s="72">
        <f t="shared" si="6"/>
        <v>82</v>
      </c>
      <c r="C91" s="12"/>
      <c r="D91" s="12"/>
      <c r="E91" s="12"/>
      <c r="F91" s="52" t="s">
        <v>188</v>
      </c>
      <c r="G91" s="12">
        <v>640</v>
      </c>
      <c r="H91" s="12" t="s">
        <v>134</v>
      </c>
      <c r="I91" s="49">
        <f>100+250</f>
        <v>350</v>
      </c>
      <c r="J91" s="49">
        <v>226</v>
      </c>
      <c r="K91" s="198">
        <f t="shared" si="17"/>
        <v>64.571428571428569</v>
      </c>
      <c r="L91" s="49"/>
      <c r="M91" s="49"/>
      <c r="N91" s="218"/>
      <c r="O91" s="49">
        <f t="shared" si="15"/>
        <v>350</v>
      </c>
      <c r="P91" s="49">
        <f t="shared" si="16"/>
        <v>226</v>
      </c>
      <c r="Q91" s="203">
        <f t="shared" si="11"/>
        <v>64.571428571428569</v>
      </c>
    </row>
    <row r="92" spans="2:17" ht="15" x14ac:dyDescent="0.25">
      <c r="B92" s="72">
        <f t="shared" si="6"/>
        <v>83</v>
      </c>
      <c r="C92" s="178"/>
      <c r="D92" s="178">
        <v>5</v>
      </c>
      <c r="E92" s="278" t="s">
        <v>37</v>
      </c>
      <c r="F92" s="279"/>
      <c r="G92" s="279"/>
      <c r="H92" s="279"/>
      <c r="I92" s="46">
        <f>I93</f>
        <v>16100</v>
      </c>
      <c r="J92" s="46">
        <f>J93</f>
        <v>11824</v>
      </c>
      <c r="K92" s="198">
        <f t="shared" si="17"/>
        <v>73.440993788819881</v>
      </c>
      <c r="L92" s="46">
        <v>0</v>
      </c>
      <c r="M92" s="46">
        <v>0</v>
      </c>
      <c r="N92" s="220"/>
      <c r="O92" s="46">
        <f t="shared" si="15"/>
        <v>16100</v>
      </c>
      <c r="P92" s="46">
        <f t="shared" si="16"/>
        <v>11824</v>
      </c>
      <c r="Q92" s="203">
        <f t="shared" si="11"/>
        <v>73.440993788819881</v>
      </c>
    </row>
    <row r="93" spans="2:17" ht="15" x14ac:dyDescent="0.25">
      <c r="B93" s="72">
        <f t="shared" si="6"/>
        <v>84</v>
      </c>
      <c r="C93" s="15"/>
      <c r="D93" s="15"/>
      <c r="E93" s="15">
        <v>2</v>
      </c>
      <c r="F93" s="50"/>
      <c r="G93" s="15"/>
      <c r="H93" s="15" t="s">
        <v>256</v>
      </c>
      <c r="I93" s="47">
        <f>I94+I95+I96</f>
        <v>16100</v>
      </c>
      <c r="J93" s="47">
        <f>J94+J95+J96</f>
        <v>11824</v>
      </c>
      <c r="K93" s="198">
        <f t="shared" si="17"/>
        <v>73.440993788819881</v>
      </c>
      <c r="L93" s="47">
        <v>0</v>
      </c>
      <c r="M93" s="47">
        <v>0</v>
      </c>
      <c r="N93" s="218"/>
      <c r="O93" s="47">
        <f t="shared" si="15"/>
        <v>16100</v>
      </c>
      <c r="P93" s="47">
        <f t="shared" si="16"/>
        <v>11824</v>
      </c>
      <c r="Q93" s="203">
        <f t="shared" si="11"/>
        <v>73.440993788819881</v>
      </c>
    </row>
    <row r="94" spans="2:17" x14ac:dyDescent="0.2">
      <c r="B94" s="72">
        <f t="shared" si="6"/>
        <v>85</v>
      </c>
      <c r="C94" s="12"/>
      <c r="D94" s="12"/>
      <c r="E94" s="12"/>
      <c r="F94" s="52" t="s">
        <v>188</v>
      </c>
      <c r="G94" s="12">
        <v>610</v>
      </c>
      <c r="H94" s="12" t="s">
        <v>135</v>
      </c>
      <c r="I94" s="49">
        <f>7800-7800+1950</f>
        <v>1950</v>
      </c>
      <c r="J94" s="49">
        <v>1950</v>
      </c>
      <c r="K94" s="198">
        <f t="shared" si="17"/>
        <v>100</v>
      </c>
      <c r="L94" s="49"/>
      <c r="M94" s="49"/>
      <c r="N94" s="218"/>
      <c r="O94" s="49">
        <f t="shared" si="15"/>
        <v>1950</v>
      </c>
      <c r="P94" s="49">
        <f t="shared" si="16"/>
        <v>1950</v>
      </c>
      <c r="Q94" s="203">
        <f t="shared" si="11"/>
        <v>100</v>
      </c>
    </row>
    <row r="95" spans="2:17" x14ac:dyDescent="0.2">
      <c r="B95" s="72">
        <f t="shared" ref="B95:B103" si="18">B94+1</f>
        <v>86</v>
      </c>
      <c r="C95" s="12"/>
      <c r="D95" s="12"/>
      <c r="E95" s="12"/>
      <c r="F95" s="52" t="s">
        <v>188</v>
      </c>
      <c r="G95" s="12">
        <v>620</v>
      </c>
      <c r="H95" s="12" t="s">
        <v>130</v>
      </c>
      <c r="I95" s="49">
        <f>2700-2700+700</f>
        <v>700</v>
      </c>
      <c r="J95" s="49">
        <v>682</v>
      </c>
      <c r="K95" s="198">
        <f t="shared" si="17"/>
        <v>97.428571428571431</v>
      </c>
      <c r="L95" s="49"/>
      <c r="M95" s="49"/>
      <c r="N95" s="218"/>
      <c r="O95" s="49">
        <f t="shared" si="15"/>
        <v>700</v>
      </c>
      <c r="P95" s="49">
        <f t="shared" si="16"/>
        <v>682</v>
      </c>
      <c r="Q95" s="203">
        <f t="shared" si="11"/>
        <v>97.428571428571431</v>
      </c>
    </row>
    <row r="96" spans="2:17" x14ac:dyDescent="0.2">
      <c r="B96" s="72">
        <f t="shared" si="18"/>
        <v>87</v>
      </c>
      <c r="C96" s="12"/>
      <c r="D96" s="12"/>
      <c r="E96" s="12"/>
      <c r="F96" s="52" t="s">
        <v>188</v>
      </c>
      <c r="G96" s="12">
        <v>630</v>
      </c>
      <c r="H96" s="12" t="s">
        <v>127</v>
      </c>
      <c r="I96" s="49">
        <f>I101+I100+I98+I97+I99</f>
        <v>13450</v>
      </c>
      <c r="J96" s="49">
        <f>J101+J100+J98+J97+J99</f>
        <v>9192</v>
      </c>
      <c r="K96" s="198">
        <f t="shared" si="17"/>
        <v>68.342007434944236</v>
      </c>
      <c r="L96" s="49">
        <v>0</v>
      </c>
      <c r="M96" s="49">
        <v>0</v>
      </c>
      <c r="N96" s="218"/>
      <c r="O96" s="49">
        <f t="shared" si="15"/>
        <v>13450</v>
      </c>
      <c r="P96" s="49">
        <f t="shared" si="16"/>
        <v>9192</v>
      </c>
      <c r="Q96" s="203">
        <f t="shared" si="11"/>
        <v>68.342007434944236</v>
      </c>
    </row>
    <row r="97" spans="2:17" x14ac:dyDescent="0.2">
      <c r="B97" s="72">
        <f t="shared" si="18"/>
        <v>88</v>
      </c>
      <c r="C97" s="4"/>
      <c r="D97" s="4"/>
      <c r="E97" s="4"/>
      <c r="F97" s="53" t="s">
        <v>188</v>
      </c>
      <c r="G97" s="4">
        <v>632</v>
      </c>
      <c r="H97" s="4" t="s">
        <v>138</v>
      </c>
      <c r="I97" s="23">
        <f>17000-17000+500</f>
        <v>500</v>
      </c>
      <c r="J97" s="23">
        <v>459</v>
      </c>
      <c r="K97" s="198">
        <f t="shared" si="17"/>
        <v>91.8</v>
      </c>
      <c r="L97" s="23"/>
      <c r="M97" s="23"/>
      <c r="N97" s="218"/>
      <c r="O97" s="23">
        <f t="shared" si="15"/>
        <v>500</v>
      </c>
      <c r="P97" s="23">
        <f t="shared" si="16"/>
        <v>459</v>
      </c>
      <c r="Q97" s="203">
        <f t="shared" si="11"/>
        <v>91.8</v>
      </c>
    </row>
    <row r="98" spans="2:17" x14ac:dyDescent="0.2">
      <c r="B98" s="72">
        <f t="shared" si="18"/>
        <v>89</v>
      </c>
      <c r="C98" s="4"/>
      <c r="D98" s="4"/>
      <c r="E98" s="4"/>
      <c r="F98" s="53" t="s">
        <v>188</v>
      </c>
      <c r="G98" s="4">
        <v>633</v>
      </c>
      <c r="H98" s="4" t="s">
        <v>131</v>
      </c>
      <c r="I98" s="23">
        <f>1300-1300+3000+1350</f>
        <v>4350</v>
      </c>
      <c r="J98" s="23">
        <v>4142</v>
      </c>
      <c r="K98" s="198">
        <f t="shared" si="17"/>
        <v>95.218390804597703</v>
      </c>
      <c r="L98" s="23"/>
      <c r="M98" s="23"/>
      <c r="N98" s="218"/>
      <c r="O98" s="23">
        <f t="shared" si="15"/>
        <v>4350</v>
      </c>
      <c r="P98" s="23">
        <f t="shared" si="16"/>
        <v>4142</v>
      </c>
      <c r="Q98" s="203">
        <f t="shared" si="11"/>
        <v>95.218390804597703</v>
      </c>
    </row>
    <row r="99" spans="2:17" x14ac:dyDescent="0.2">
      <c r="B99" s="72">
        <f t="shared" si="18"/>
        <v>90</v>
      </c>
      <c r="C99" s="4"/>
      <c r="D99" s="4"/>
      <c r="E99" s="4"/>
      <c r="F99" s="53" t="s">
        <v>188</v>
      </c>
      <c r="G99" s="4">
        <v>634</v>
      </c>
      <c r="H99" s="4" t="s">
        <v>136</v>
      </c>
      <c r="I99" s="23">
        <f>200-200+100</f>
        <v>100</v>
      </c>
      <c r="J99" s="23">
        <v>87</v>
      </c>
      <c r="K99" s="198">
        <f t="shared" si="17"/>
        <v>87</v>
      </c>
      <c r="L99" s="23"/>
      <c r="M99" s="23"/>
      <c r="N99" s="218"/>
      <c r="O99" s="23">
        <f t="shared" si="15"/>
        <v>100</v>
      </c>
      <c r="P99" s="23">
        <f t="shared" si="16"/>
        <v>87</v>
      </c>
      <c r="Q99" s="203">
        <f t="shared" si="11"/>
        <v>87</v>
      </c>
    </row>
    <row r="100" spans="2:17" x14ac:dyDescent="0.2">
      <c r="B100" s="72">
        <f t="shared" si="18"/>
        <v>91</v>
      </c>
      <c r="C100" s="4"/>
      <c r="D100" s="4"/>
      <c r="E100" s="4"/>
      <c r="F100" s="53" t="s">
        <v>188</v>
      </c>
      <c r="G100" s="4">
        <v>635</v>
      </c>
      <c r="H100" s="4" t="s">
        <v>137</v>
      </c>
      <c r="I100" s="23">
        <f>19800-19800+16000-6150-1850</f>
        <v>8000</v>
      </c>
      <c r="J100" s="23">
        <v>4008</v>
      </c>
      <c r="K100" s="198">
        <f t="shared" si="17"/>
        <v>50.1</v>
      </c>
      <c r="L100" s="23"/>
      <c r="M100" s="23"/>
      <c r="N100" s="218"/>
      <c r="O100" s="23">
        <f t="shared" si="15"/>
        <v>8000</v>
      </c>
      <c r="P100" s="23">
        <f t="shared" si="16"/>
        <v>4008</v>
      </c>
      <c r="Q100" s="203">
        <f t="shared" si="11"/>
        <v>50.1</v>
      </c>
    </row>
    <row r="101" spans="2:17" x14ac:dyDescent="0.2">
      <c r="B101" s="72">
        <f t="shared" si="18"/>
        <v>92</v>
      </c>
      <c r="C101" s="4"/>
      <c r="D101" s="4"/>
      <c r="E101" s="4"/>
      <c r="F101" s="53" t="s">
        <v>188</v>
      </c>
      <c r="G101" s="4">
        <v>637</v>
      </c>
      <c r="H101" s="4" t="s">
        <v>128</v>
      </c>
      <c r="I101" s="23">
        <f>1200-1200+500</f>
        <v>500</v>
      </c>
      <c r="J101" s="23">
        <v>496</v>
      </c>
      <c r="K101" s="198">
        <f t="shared" si="17"/>
        <v>99.2</v>
      </c>
      <c r="L101" s="23"/>
      <c r="M101" s="23"/>
      <c r="N101" s="218"/>
      <c r="O101" s="23">
        <f t="shared" si="15"/>
        <v>500</v>
      </c>
      <c r="P101" s="23">
        <f t="shared" si="16"/>
        <v>496</v>
      </c>
      <c r="Q101" s="203">
        <f t="shared" si="11"/>
        <v>99.2</v>
      </c>
    </row>
    <row r="102" spans="2:17" ht="15" x14ac:dyDescent="0.2">
      <c r="B102" s="72">
        <f t="shared" si="18"/>
        <v>93</v>
      </c>
      <c r="C102" s="179">
        <v>4</v>
      </c>
      <c r="D102" s="280" t="s">
        <v>59</v>
      </c>
      <c r="E102" s="279"/>
      <c r="F102" s="279"/>
      <c r="G102" s="279"/>
      <c r="H102" s="279"/>
      <c r="I102" s="45">
        <f>I103+I114</f>
        <v>45300</v>
      </c>
      <c r="J102" s="45">
        <f>J103+J114</f>
        <v>28638</v>
      </c>
      <c r="K102" s="198">
        <f t="shared" si="17"/>
        <v>63.21854304635761</v>
      </c>
      <c r="L102" s="45">
        <f>L103+L114</f>
        <v>146000</v>
      </c>
      <c r="M102" s="45">
        <f>M103+M114</f>
        <v>13259</v>
      </c>
      <c r="N102" s="220">
        <f t="shared" ref="N102:N112" si="19">M102/L102*100</f>
        <v>9.081506849315069</v>
      </c>
      <c r="O102" s="45">
        <f t="shared" si="15"/>
        <v>191300</v>
      </c>
      <c r="P102" s="45">
        <f t="shared" si="16"/>
        <v>41897</v>
      </c>
      <c r="Q102" s="203">
        <f t="shared" si="11"/>
        <v>21.901202300052276</v>
      </c>
    </row>
    <row r="103" spans="2:17" x14ac:dyDescent="0.2">
      <c r="B103" s="72">
        <f t="shared" si="18"/>
        <v>94</v>
      </c>
      <c r="C103" s="12"/>
      <c r="D103" s="12"/>
      <c r="E103" s="12"/>
      <c r="F103" s="52" t="s">
        <v>188</v>
      </c>
      <c r="G103" s="12">
        <v>710</v>
      </c>
      <c r="H103" s="12" t="s">
        <v>183</v>
      </c>
      <c r="I103" s="49">
        <v>0</v>
      </c>
      <c r="J103" s="49"/>
      <c r="K103" s="198"/>
      <c r="L103" s="49">
        <f>L104+L106+L109</f>
        <v>116400</v>
      </c>
      <c r="M103" s="49">
        <f>M104+M106+M109</f>
        <v>13259</v>
      </c>
      <c r="N103" s="218">
        <f t="shared" si="19"/>
        <v>11.390893470790378</v>
      </c>
      <c r="O103" s="49">
        <f t="shared" si="15"/>
        <v>116400</v>
      </c>
      <c r="P103" s="49">
        <f t="shared" si="16"/>
        <v>13259</v>
      </c>
      <c r="Q103" s="203">
        <f t="shared" si="11"/>
        <v>11.390893470790378</v>
      </c>
    </row>
    <row r="104" spans="2:17" x14ac:dyDescent="0.2">
      <c r="B104" s="72">
        <f t="shared" ref="B104:B132" si="20">B103+1</f>
        <v>95</v>
      </c>
      <c r="C104" s="12"/>
      <c r="D104" s="12"/>
      <c r="E104" s="12"/>
      <c r="F104" s="82" t="s">
        <v>188</v>
      </c>
      <c r="G104" s="83">
        <v>712</v>
      </c>
      <c r="H104" s="83" t="s">
        <v>243</v>
      </c>
      <c r="I104" s="84"/>
      <c r="J104" s="84"/>
      <c r="K104" s="198"/>
      <c r="L104" s="84">
        <f>L105</f>
        <v>40000</v>
      </c>
      <c r="M104" s="84">
        <f>M105</f>
        <v>0</v>
      </c>
      <c r="N104" s="218">
        <f t="shared" si="19"/>
        <v>0</v>
      </c>
      <c r="O104" s="84">
        <f t="shared" si="15"/>
        <v>40000</v>
      </c>
      <c r="P104" s="84">
        <f t="shared" si="16"/>
        <v>0</v>
      </c>
      <c r="Q104" s="203">
        <f t="shared" ref="Q104:Q132" si="21">P104/O104*100</f>
        <v>0</v>
      </c>
    </row>
    <row r="105" spans="2:17" x14ac:dyDescent="0.2">
      <c r="B105" s="72">
        <f t="shared" si="20"/>
        <v>96</v>
      </c>
      <c r="C105" s="12"/>
      <c r="D105" s="12"/>
      <c r="E105" s="12"/>
      <c r="F105" s="52"/>
      <c r="G105" s="12"/>
      <c r="H105" s="60" t="s">
        <v>598</v>
      </c>
      <c r="I105" s="49"/>
      <c r="J105" s="49"/>
      <c r="K105" s="198"/>
      <c r="L105" s="58">
        <v>40000</v>
      </c>
      <c r="M105" s="58"/>
      <c r="N105" s="218">
        <f t="shared" si="19"/>
        <v>0</v>
      </c>
      <c r="O105" s="49">
        <f t="shared" si="15"/>
        <v>40000</v>
      </c>
      <c r="P105" s="49">
        <f t="shared" si="16"/>
        <v>0</v>
      </c>
      <c r="Q105" s="203">
        <f t="shared" si="21"/>
        <v>0</v>
      </c>
    </row>
    <row r="106" spans="2:17" x14ac:dyDescent="0.2">
      <c r="B106" s="72">
        <f t="shared" si="20"/>
        <v>97</v>
      </c>
      <c r="C106" s="12"/>
      <c r="D106" s="12"/>
      <c r="E106" s="12"/>
      <c r="F106" s="82" t="s">
        <v>188</v>
      </c>
      <c r="G106" s="83">
        <v>716</v>
      </c>
      <c r="H106" s="83" t="s">
        <v>0</v>
      </c>
      <c r="I106" s="84"/>
      <c r="J106" s="84"/>
      <c r="K106" s="198"/>
      <c r="L106" s="84">
        <f>L107+L108</f>
        <v>4000</v>
      </c>
      <c r="M106" s="84">
        <f>M107+M108</f>
        <v>3740</v>
      </c>
      <c r="N106" s="218">
        <f t="shared" si="19"/>
        <v>93.5</v>
      </c>
      <c r="O106" s="84">
        <f t="shared" si="15"/>
        <v>4000</v>
      </c>
      <c r="P106" s="84">
        <f t="shared" si="16"/>
        <v>3740</v>
      </c>
      <c r="Q106" s="203">
        <f t="shared" si="21"/>
        <v>93.5</v>
      </c>
    </row>
    <row r="107" spans="2:17" ht="24" x14ac:dyDescent="0.2">
      <c r="B107" s="72">
        <f t="shared" si="20"/>
        <v>98</v>
      </c>
      <c r="C107" s="12"/>
      <c r="D107" s="12"/>
      <c r="E107" s="12"/>
      <c r="F107" s="53"/>
      <c r="G107" s="4"/>
      <c r="H107" s="110" t="s">
        <v>542</v>
      </c>
      <c r="I107" s="23"/>
      <c r="J107" s="23"/>
      <c r="K107" s="198"/>
      <c r="L107" s="23">
        <v>3000</v>
      </c>
      <c r="M107" s="23">
        <v>2750</v>
      </c>
      <c r="N107" s="218">
        <f t="shared" si="19"/>
        <v>91.666666666666657</v>
      </c>
      <c r="O107" s="23">
        <f t="shared" si="15"/>
        <v>3000</v>
      </c>
      <c r="P107" s="23">
        <f t="shared" si="16"/>
        <v>2750</v>
      </c>
      <c r="Q107" s="203">
        <f t="shared" si="21"/>
        <v>91.666666666666657</v>
      </c>
    </row>
    <row r="108" spans="2:17" x14ac:dyDescent="0.2">
      <c r="B108" s="72">
        <f t="shared" si="20"/>
        <v>99</v>
      </c>
      <c r="C108" s="12"/>
      <c r="D108" s="12"/>
      <c r="E108" s="12"/>
      <c r="F108" s="130" t="s">
        <v>188</v>
      </c>
      <c r="G108" s="131">
        <v>716</v>
      </c>
      <c r="H108" s="132" t="s">
        <v>559</v>
      </c>
      <c r="I108" s="129"/>
      <c r="J108" s="129"/>
      <c r="K108" s="198"/>
      <c r="L108" s="129">
        <f>500+500</f>
        <v>1000</v>
      </c>
      <c r="M108" s="129">
        <v>990</v>
      </c>
      <c r="N108" s="218">
        <f t="shared" si="19"/>
        <v>99</v>
      </c>
      <c r="O108" s="129">
        <f t="shared" si="15"/>
        <v>1000</v>
      </c>
      <c r="P108" s="129">
        <f t="shared" si="16"/>
        <v>990</v>
      </c>
      <c r="Q108" s="203">
        <f t="shared" si="21"/>
        <v>99</v>
      </c>
    </row>
    <row r="109" spans="2:17" x14ac:dyDescent="0.2">
      <c r="B109" s="72">
        <f t="shared" si="20"/>
        <v>100</v>
      </c>
      <c r="C109" s="4"/>
      <c r="D109" s="4"/>
      <c r="E109" s="4"/>
      <c r="F109" s="82" t="s">
        <v>188</v>
      </c>
      <c r="G109" s="83">
        <v>717</v>
      </c>
      <c r="H109" s="83" t="s">
        <v>193</v>
      </c>
      <c r="I109" s="84"/>
      <c r="J109" s="84"/>
      <c r="K109" s="198"/>
      <c r="L109" s="84">
        <f>SUM(L110:L113)</f>
        <v>72400</v>
      </c>
      <c r="M109" s="84">
        <f>SUM(M110:M113)</f>
        <v>9519</v>
      </c>
      <c r="N109" s="218">
        <f t="shared" si="19"/>
        <v>13.147790055248617</v>
      </c>
      <c r="O109" s="84">
        <f t="shared" si="15"/>
        <v>72400</v>
      </c>
      <c r="P109" s="84">
        <f t="shared" si="16"/>
        <v>9519</v>
      </c>
      <c r="Q109" s="203">
        <f t="shared" si="21"/>
        <v>13.147790055248617</v>
      </c>
    </row>
    <row r="110" spans="2:17" x14ac:dyDescent="0.2">
      <c r="B110" s="72">
        <f t="shared" si="20"/>
        <v>101</v>
      </c>
      <c r="C110" s="4"/>
      <c r="D110" s="4"/>
      <c r="E110" s="4"/>
      <c r="F110" s="53"/>
      <c r="G110" s="4"/>
      <c r="H110" s="110" t="s">
        <v>434</v>
      </c>
      <c r="I110" s="23"/>
      <c r="J110" s="23"/>
      <c r="K110" s="198"/>
      <c r="L110" s="23">
        <f>5000-3000</f>
        <v>2000</v>
      </c>
      <c r="M110" s="23"/>
      <c r="N110" s="218">
        <f t="shared" si="19"/>
        <v>0</v>
      </c>
      <c r="O110" s="23">
        <f t="shared" si="15"/>
        <v>2000</v>
      </c>
      <c r="P110" s="23">
        <f t="shared" si="16"/>
        <v>0</v>
      </c>
      <c r="Q110" s="203">
        <f t="shared" si="21"/>
        <v>0</v>
      </c>
    </row>
    <row r="111" spans="2:17" x14ac:dyDescent="0.2">
      <c r="B111" s="72">
        <f t="shared" si="20"/>
        <v>102</v>
      </c>
      <c r="C111" s="4"/>
      <c r="D111" s="4"/>
      <c r="E111" s="4"/>
      <c r="F111" s="53"/>
      <c r="G111" s="4"/>
      <c r="H111" s="137" t="s">
        <v>571</v>
      </c>
      <c r="I111" s="123"/>
      <c r="J111" s="123"/>
      <c r="K111" s="198"/>
      <c r="L111" s="123">
        <f>30000+10000</f>
        <v>40000</v>
      </c>
      <c r="M111" s="123"/>
      <c r="N111" s="218">
        <f t="shared" si="19"/>
        <v>0</v>
      </c>
      <c r="O111" s="123">
        <f t="shared" ref="O111:O132" si="22">I111+L111</f>
        <v>40000</v>
      </c>
      <c r="P111" s="123">
        <f t="shared" ref="P111:P132" si="23">J111+M111</f>
        <v>0</v>
      </c>
      <c r="Q111" s="203">
        <f t="shared" si="21"/>
        <v>0</v>
      </c>
    </row>
    <row r="112" spans="2:17" x14ac:dyDescent="0.2">
      <c r="B112" s="72">
        <f t="shared" si="20"/>
        <v>103</v>
      </c>
      <c r="C112" s="4"/>
      <c r="D112" s="4"/>
      <c r="E112" s="4"/>
      <c r="F112" s="53"/>
      <c r="G112" s="4"/>
      <c r="H112" s="161" t="s">
        <v>659</v>
      </c>
      <c r="I112" s="114"/>
      <c r="J112" s="114"/>
      <c r="K112" s="198"/>
      <c r="L112" s="114">
        <f>12500+1000</f>
        <v>13500</v>
      </c>
      <c r="M112" s="114">
        <v>9519</v>
      </c>
      <c r="N112" s="218">
        <f t="shared" si="19"/>
        <v>70.51111111111112</v>
      </c>
      <c r="O112" s="114">
        <f t="shared" si="22"/>
        <v>13500</v>
      </c>
      <c r="P112" s="114">
        <f t="shared" si="23"/>
        <v>9519</v>
      </c>
      <c r="Q112" s="203">
        <f t="shared" si="21"/>
        <v>70.51111111111112</v>
      </c>
    </row>
    <row r="113" spans="2:17" ht="24" x14ac:dyDescent="0.2">
      <c r="B113" s="72">
        <f t="shared" si="20"/>
        <v>104</v>
      </c>
      <c r="C113" s="4"/>
      <c r="D113" s="4"/>
      <c r="E113" s="4"/>
      <c r="F113" s="53"/>
      <c r="G113" s="4"/>
      <c r="H113" s="161" t="s">
        <v>660</v>
      </c>
      <c r="I113" s="114"/>
      <c r="J113" s="114"/>
      <c r="K113" s="198"/>
      <c r="L113" s="114">
        <f>15000+1900</f>
        <v>16900</v>
      </c>
      <c r="M113" s="114"/>
      <c r="N113" s="218"/>
      <c r="O113" s="114">
        <f t="shared" si="22"/>
        <v>16900</v>
      </c>
      <c r="P113" s="114">
        <f t="shared" si="23"/>
        <v>0</v>
      </c>
      <c r="Q113" s="203">
        <f t="shared" si="21"/>
        <v>0</v>
      </c>
    </row>
    <row r="114" spans="2:17" ht="15" x14ac:dyDescent="0.25">
      <c r="B114" s="72">
        <f t="shared" si="20"/>
        <v>105</v>
      </c>
      <c r="C114" s="15"/>
      <c r="D114" s="15"/>
      <c r="E114" s="15">
        <v>2</v>
      </c>
      <c r="F114" s="50"/>
      <c r="G114" s="15"/>
      <c r="H114" s="15" t="s">
        <v>256</v>
      </c>
      <c r="I114" s="47">
        <f>I115+I116+I117</f>
        <v>45300</v>
      </c>
      <c r="J114" s="47">
        <f>J115+J116+J117</f>
        <v>28638</v>
      </c>
      <c r="K114" s="198">
        <f t="shared" ref="K114:K129" si="24">J114/I114*100</f>
        <v>63.21854304635761</v>
      </c>
      <c r="L114" s="47">
        <f>L115+L116+L117+L130</f>
        <v>29600</v>
      </c>
      <c r="M114" s="47">
        <f>M115+M116+M117+M130</f>
        <v>0</v>
      </c>
      <c r="N114" s="218"/>
      <c r="O114" s="47">
        <f t="shared" si="22"/>
        <v>74900</v>
      </c>
      <c r="P114" s="47">
        <f t="shared" si="23"/>
        <v>28638</v>
      </c>
      <c r="Q114" s="203">
        <f t="shared" si="21"/>
        <v>38.234979973297726</v>
      </c>
    </row>
    <row r="115" spans="2:17" x14ac:dyDescent="0.2">
      <c r="B115" s="72">
        <f t="shared" si="20"/>
        <v>106</v>
      </c>
      <c r="C115" s="12"/>
      <c r="D115" s="12"/>
      <c r="E115" s="12"/>
      <c r="F115" s="52" t="s">
        <v>188</v>
      </c>
      <c r="G115" s="12">
        <v>610</v>
      </c>
      <c r="H115" s="12" t="s">
        <v>135</v>
      </c>
      <c r="I115" s="49">
        <v>7000</v>
      </c>
      <c r="J115" s="49">
        <v>6973</v>
      </c>
      <c r="K115" s="198">
        <f t="shared" si="24"/>
        <v>99.614285714285714</v>
      </c>
      <c r="L115" s="49"/>
      <c r="M115" s="49"/>
      <c r="N115" s="218"/>
      <c r="O115" s="49">
        <f t="shared" si="22"/>
        <v>7000</v>
      </c>
      <c r="P115" s="49">
        <f t="shared" si="23"/>
        <v>6973</v>
      </c>
      <c r="Q115" s="203">
        <f t="shared" si="21"/>
        <v>99.614285714285714</v>
      </c>
    </row>
    <row r="116" spans="2:17" x14ac:dyDescent="0.2">
      <c r="B116" s="72">
        <f t="shared" si="20"/>
        <v>107</v>
      </c>
      <c r="C116" s="12"/>
      <c r="D116" s="12"/>
      <c r="E116" s="12"/>
      <c r="F116" s="52" t="s">
        <v>188</v>
      </c>
      <c r="G116" s="12">
        <v>620</v>
      </c>
      <c r="H116" s="12" t="s">
        <v>130</v>
      </c>
      <c r="I116" s="49">
        <v>2930</v>
      </c>
      <c r="J116" s="49">
        <v>2747</v>
      </c>
      <c r="K116" s="198">
        <f t="shared" si="24"/>
        <v>93.754266211604104</v>
      </c>
      <c r="L116" s="49"/>
      <c r="M116" s="49"/>
      <c r="N116" s="218"/>
      <c r="O116" s="49">
        <f t="shared" si="22"/>
        <v>2930</v>
      </c>
      <c r="P116" s="49">
        <f t="shared" si="23"/>
        <v>2747</v>
      </c>
      <c r="Q116" s="203">
        <f t="shared" si="21"/>
        <v>93.754266211604104</v>
      </c>
    </row>
    <row r="117" spans="2:17" x14ac:dyDescent="0.2">
      <c r="B117" s="72">
        <f t="shared" si="20"/>
        <v>108</v>
      </c>
      <c r="C117" s="12"/>
      <c r="D117" s="12"/>
      <c r="E117" s="12"/>
      <c r="F117" s="52" t="s">
        <v>188</v>
      </c>
      <c r="G117" s="12">
        <v>630</v>
      </c>
      <c r="H117" s="12" t="s">
        <v>127</v>
      </c>
      <c r="I117" s="49">
        <f>SUM(I118:I129)</f>
        <v>35370</v>
      </c>
      <c r="J117" s="49">
        <f>SUM(J118:J129)</f>
        <v>18918</v>
      </c>
      <c r="K117" s="198">
        <f t="shared" si="24"/>
        <v>53.486005089058523</v>
      </c>
      <c r="L117" s="49">
        <f>SUM(L118:L129)</f>
        <v>0</v>
      </c>
      <c r="M117" s="49">
        <f>SUM(M118:M129)</f>
        <v>0</v>
      </c>
      <c r="N117" s="218"/>
      <c r="O117" s="49">
        <f t="shared" si="22"/>
        <v>35370</v>
      </c>
      <c r="P117" s="49">
        <f t="shared" si="23"/>
        <v>18918</v>
      </c>
      <c r="Q117" s="203">
        <f t="shared" si="21"/>
        <v>53.486005089058523</v>
      </c>
    </row>
    <row r="118" spans="2:17" x14ac:dyDescent="0.2">
      <c r="B118" s="72">
        <f t="shared" si="20"/>
        <v>109</v>
      </c>
      <c r="C118" s="4"/>
      <c r="D118" s="4"/>
      <c r="E118" s="4"/>
      <c r="F118" s="53" t="s">
        <v>188</v>
      </c>
      <c r="G118" s="4">
        <v>633</v>
      </c>
      <c r="H118" s="4" t="s">
        <v>131</v>
      </c>
      <c r="I118" s="23">
        <f>7050+4500</f>
        <v>11550</v>
      </c>
      <c r="J118" s="23">
        <f>16337-J119-J120-J121-J122</f>
        <v>10806</v>
      </c>
      <c r="K118" s="198">
        <f t="shared" si="24"/>
        <v>93.558441558441558</v>
      </c>
      <c r="L118" s="23"/>
      <c r="M118" s="23"/>
      <c r="N118" s="218"/>
      <c r="O118" s="23">
        <f t="shared" si="22"/>
        <v>11550</v>
      </c>
      <c r="P118" s="23">
        <f t="shared" si="23"/>
        <v>10806</v>
      </c>
      <c r="Q118" s="203">
        <f t="shared" si="21"/>
        <v>93.558441558441558</v>
      </c>
    </row>
    <row r="119" spans="2:17" x14ac:dyDescent="0.2">
      <c r="B119" s="72">
        <f t="shared" si="20"/>
        <v>110</v>
      </c>
      <c r="C119" s="4"/>
      <c r="D119" s="4"/>
      <c r="E119" s="4"/>
      <c r="F119" s="53" t="s">
        <v>188</v>
      </c>
      <c r="G119" s="4">
        <v>633</v>
      </c>
      <c r="H119" s="4" t="s">
        <v>662</v>
      </c>
      <c r="I119" s="23">
        <v>2000</v>
      </c>
      <c r="J119" s="23">
        <v>1142</v>
      </c>
      <c r="K119" s="198">
        <f t="shared" si="24"/>
        <v>57.099999999999994</v>
      </c>
      <c r="L119" s="23"/>
      <c r="M119" s="23"/>
      <c r="N119" s="218"/>
      <c r="O119" s="23">
        <f t="shared" si="22"/>
        <v>2000</v>
      </c>
      <c r="P119" s="23">
        <f t="shared" si="23"/>
        <v>1142</v>
      </c>
      <c r="Q119" s="203">
        <f t="shared" si="21"/>
        <v>57.099999999999994</v>
      </c>
    </row>
    <row r="120" spans="2:17" x14ac:dyDescent="0.2">
      <c r="B120" s="72">
        <f t="shared" si="20"/>
        <v>111</v>
      </c>
      <c r="C120" s="4"/>
      <c r="D120" s="4"/>
      <c r="E120" s="4"/>
      <c r="F120" s="53" t="s">
        <v>188</v>
      </c>
      <c r="G120" s="4">
        <v>633</v>
      </c>
      <c r="H120" s="115" t="s">
        <v>661</v>
      </c>
      <c r="I120" s="114">
        <f>5000-700-1900</f>
        <v>2400</v>
      </c>
      <c r="J120" s="114">
        <v>2397</v>
      </c>
      <c r="K120" s="198">
        <f t="shared" si="24"/>
        <v>99.875</v>
      </c>
      <c r="L120" s="114"/>
      <c r="M120" s="114"/>
      <c r="N120" s="218"/>
      <c r="O120" s="114">
        <f t="shared" si="22"/>
        <v>2400</v>
      </c>
      <c r="P120" s="114">
        <f t="shared" si="23"/>
        <v>2397</v>
      </c>
      <c r="Q120" s="203">
        <f t="shared" si="21"/>
        <v>99.875</v>
      </c>
    </row>
    <row r="121" spans="2:17" x14ac:dyDescent="0.2">
      <c r="B121" s="72">
        <f t="shared" si="20"/>
        <v>112</v>
      </c>
      <c r="C121" s="4"/>
      <c r="D121" s="4"/>
      <c r="E121" s="4"/>
      <c r="F121" s="53" t="s">
        <v>188</v>
      </c>
      <c r="G121" s="4">
        <v>633</v>
      </c>
      <c r="H121" s="165" t="s">
        <v>670</v>
      </c>
      <c r="I121" s="73">
        <v>2000</v>
      </c>
      <c r="J121" s="73">
        <v>1992</v>
      </c>
      <c r="K121" s="198">
        <f t="shared" si="24"/>
        <v>99.6</v>
      </c>
      <c r="L121" s="73"/>
      <c r="M121" s="73"/>
      <c r="N121" s="218"/>
      <c r="O121" s="73">
        <f t="shared" si="22"/>
        <v>2000</v>
      </c>
      <c r="P121" s="73">
        <f t="shared" si="23"/>
        <v>1992</v>
      </c>
      <c r="Q121" s="203">
        <f t="shared" si="21"/>
        <v>99.6</v>
      </c>
    </row>
    <row r="122" spans="2:17" x14ac:dyDescent="0.2">
      <c r="B122" s="72">
        <f t="shared" si="20"/>
        <v>113</v>
      </c>
      <c r="C122" s="4"/>
      <c r="D122" s="4"/>
      <c r="E122" s="4"/>
      <c r="F122" s="53" t="s">
        <v>188</v>
      </c>
      <c r="G122" s="4">
        <v>633</v>
      </c>
      <c r="H122" s="101" t="s">
        <v>671</v>
      </c>
      <c r="I122" s="73">
        <v>1000</v>
      </c>
      <c r="J122" s="73">
        <v>0</v>
      </c>
      <c r="K122" s="198">
        <f t="shared" si="24"/>
        <v>0</v>
      </c>
      <c r="L122" s="73"/>
      <c r="M122" s="73"/>
      <c r="N122" s="218"/>
      <c r="O122" s="73">
        <f t="shared" si="22"/>
        <v>1000</v>
      </c>
      <c r="P122" s="73">
        <f t="shared" si="23"/>
        <v>0</v>
      </c>
      <c r="Q122" s="203">
        <f t="shared" si="21"/>
        <v>0</v>
      </c>
    </row>
    <row r="123" spans="2:17" x14ac:dyDescent="0.2">
      <c r="B123" s="72">
        <f t="shared" si="20"/>
        <v>114</v>
      </c>
      <c r="C123" s="4"/>
      <c r="D123" s="4"/>
      <c r="E123" s="4"/>
      <c r="F123" s="53" t="s">
        <v>188</v>
      </c>
      <c r="G123" s="4">
        <v>634</v>
      </c>
      <c r="H123" s="4" t="s">
        <v>136</v>
      </c>
      <c r="I123" s="23">
        <v>900</v>
      </c>
      <c r="J123" s="23">
        <v>734</v>
      </c>
      <c r="K123" s="198">
        <f t="shared" si="24"/>
        <v>81.555555555555557</v>
      </c>
      <c r="L123" s="23"/>
      <c r="M123" s="23"/>
      <c r="N123" s="218"/>
      <c r="O123" s="23">
        <f t="shared" si="22"/>
        <v>900</v>
      </c>
      <c r="P123" s="23">
        <f t="shared" si="23"/>
        <v>734</v>
      </c>
      <c r="Q123" s="203">
        <f t="shared" si="21"/>
        <v>81.555555555555557</v>
      </c>
    </row>
    <row r="124" spans="2:17" x14ac:dyDescent="0.2">
      <c r="B124" s="72">
        <f t="shared" si="20"/>
        <v>115</v>
      </c>
      <c r="C124" s="4"/>
      <c r="D124" s="4"/>
      <c r="E124" s="4"/>
      <c r="F124" s="53" t="s">
        <v>188</v>
      </c>
      <c r="G124" s="4">
        <v>635</v>
      </c>
      <c r="H124" s="4" t="s">
        <v>137</v>
      </c>
      <c r="I124" s="23">
        <v>650</v>
      </c>
      <c r="J124" s="23">
        <v>520</v>
      </c>
      <c r="K124" s="198">
        <f t="shared" si="24"/>
        <v>80</v>
      </c>
      <c r="L124" s="23"/>
      <c r="M124" s="23"/>
      <c r="N124" s="218"/>
      <c r="O124" s="23">
        <f t="shared" si="22"/>
        <v>650</v>
      </c>
      <c r="P124" s="23">
        <f t="shared" si="23"/>
        <v>520</v>
      </c>
      <c r="Q124" s="203">
        <f t="shared" si="21"/>
        <v>80</v>
      </c>
    </row>
    <row r="125" spans="2:17" x14ac:dyDescent="0.2">
      <c r="B125" s="72">
        <f t="shared" si="20"/>
        <v>116</v>
      </c>
      <c r="C125" s="4"/>
      <c r="D125" s="4"/>
      <c r="E125" s="4"/>
      <c r="F125" s="53" t="s">
        <v>188</v>
      </c>
      <c r="G125" s="4">
        <v>635</v>
      </c>
      <c r="H125" s="110" t="s">
        <v>672</v>
      </c>
      <c r="I125" s="23">
        <v>4900</v>
      </c>
      <c r="J125" s="23">
        <v>0</v>
      </c>
      <c r="K125" s="198">
        <f t="shared" si="24"/>
        <v>0</v>
      </c>
      <c r="L125" s="23"/>
      <c r="M125" s="23"/>
      <c r="N125" s="218"/>
      <c r="O125" s="23">
        <f t="shared" si="22"/>
        <v>4900</v>
      </c>
      <c r="P125" s="23">
        <f t="shared" si="23"/>
        <v>0</v>
      </c>
      <c r="Q125" s="203">
        <f t="shared" si="21"/>
        <v>0</v>
      </c>
    </row>
    <row r="126" spans="2:17" x14ac:dyDescent="0.2">
      <c r="B126" s="72">
        <f t="shared" si="20"/>
        <v>117</v>
      </c>
      <c r="C126" s="4"/>
      <c r="D126" s="4"/>
      <c r="E126" s="4"/>
      <c r="F126" s="53" t="s">
        <v>188</v>
      </c>
      <c r="G126" s="4">
        <v>635</v>
      </c>
      <c r="H126" s="140" t="s">
        <v>682</v>
      </c>
      <c r="I126" s="127">
        <v>7000</v>
      </c>
      <c r="J126" s="127">
        <v>0</v>
      </c>
      <c r="K126" s="198">
        <f t="shared" si="24"/>
        <v>0</v>
      </c>
      <c r="L126" s="127"/>
      <c r="M126" s="127"/>
      <c r="N126" s="219"/>
      <c r="O126" s="127">
        <f t="shared" si="22"/>
        <v>7000</v>
      </c>
      <c r="P126" s="127">
        <f t="shared" si="23"/>
        <v>0</v>
      </c>
      <c r="Q126" s="203">
        <f t="shared" si="21"/>
        <v>0</v>
      </c>
    </row>
    <row r="127" spans="2:17" x14ac:dyDescent="0.2">
      <c r="B127" s="72">
        <f t="shared" si="20"/>
        <v>118</v>
      </c>
      <c r="C127" s="4"/>
      <c r="D127" s="4"/>
      <c r="E127" s="4"/>
      <c r="F127" s="53" t="s">
        <v>188</v>
      </c>
      <c r="G127" s="4">
        <v>635</v>
      </c>
      <c r="H127" s="132" t="s">
        <v>689</v>
      </c>
      <c r="I127" s="129">
        <v>1500</v>
      </c>
      <c r="J127" s="129">
        <v>0</v>
      </c>
      <c r="K127" s="198">
        <f t="shared" si="24"/>
        <v>0</v>
      </c>
      <c r="L127" s="129"/>
      <c r="M127" s="129"/>
      <c r="N127" s="218"/>
      <c r="O127" s="129">
        <f t="shared" si="22"/>
        <v>1500</v>
      </c>
      <c r="P127" s="129">
        <f t="shared" si="23"/>
        <v>0</v>
      </c>
      <c r="Q127" s="203">
        <f t="shared" si="21"/>
        <v>0</v>
      </c>
    </row>
    <row r="128" spans="2:17" x14ac:dyDescent="0.2">
      <c r="B128" s="72">
        <f t="shared" si="20"/>
        <v>119</v>
      </c>
      <c r="C128" s="4"/>
      <c r="D128" s="4"/>
      <c r="E128" s="4"/>
      <c r="F128" s="53" t="s">
        <v>188</v>
      </c>
      <c r="G128" s="4">
        <v>636</v>
      </c>
      <c r="H128" s="4" t="s">
        <v>132</v>
      </c>
      <c r="I128" s="23">
        <v>50</v>
      </c>
      <c r="J128" s="23">
        <v>50</v>
      </c>
      <c r="K128" s="198">
        <f t="shared" si="24"/>
        <v>100</v>
      </c>
      <c r="L128" s="23"/>
      <c r="M128" s="23"/>
      <c r="N128" s="218"/>
      <c r="O128" s="23">
        <f t="shared" si="22"/>
        <v>50</v>
      </c>
      <c r="P128" s="23">
        <f t="shared" si="23"/>
        <v>50</v>
      </c>
      <c r="Q128" s="203">
        <f t="shared" si="21"/>
        <v>100</v>
      </c>
    </row>
    <row r="129" spans="2:17" x14ac:dyDescent="0.2">
      <c r="B129" s="72">
        <f t="shared" si="20"/>
        <v>120</v>
      </c>
      <c r="C129" s="4"/>
      <c r="D129" s="4"/>
      <c r="E129" s="4"/>
      <c r="F129" s="53" t="s">
        <v>188</v>
      </c>
      <c r="G129" s="4">
        <v>637</v>
      </c>
      <c r="H129" s="4" t="s">
        <v>128</v>
      </c>
      <c r="I129" s="23">
        <v>1420</v>
      </c>
      <c r="J129" s="23">
        <v>1277</v>
      </c>
      <c r="K129" s="198">
        <f t="shared" si="24"/>
        <v>89.929577464788736</v>
      </c>
      <c r="L129" s="23"/>
      <c r="M129" s="23"/>
      <c r="N129" s="218"/>
      <c r="O129" s="23">
        <f t="shared" si="22"/>
        <v>1420</v>
      </c>
      <c r="P129" s="23">
        <f t="shared" si="23"/>
        <v>1277</v>
      </c>
      <c r="Q129" s="203">
        <f t="shared" si="21"/>
        <v>89.929577464788736</v>
      </c>
    </row>
    <row r="130" spans="2:17" x14ac:dyDescent="0.2">
      <c r="B130" s="72">
        <f t="shared" si="20"/>
        <v>121</v>
      </c>
      <c r="C130" s="12"/>
      <c r="D130" s="12"/>
      <c r="E130" s="12"/>
      <c r="F130" s="52" t="s">
        <v>188</v>
      </c>
      <c r="G130" s="12">
        <v>710</v>
      </c>
      <c r="H130" s="12" t="s">
        <v>183</v>
      </c>
      <c r="I130" s="49">
        <v>0</v>
      </c>
      <c r="J130" s="49">
        <v>0</v>
      </c>
      <c r="K130" s="198"/>
      <c r="L130" s="49">
        <f>L131</f>
        <v>29600</v>
      </c>
      <c r="M130" s="49">
        <f>M131</f>
        <v>0</v>
      </c>
      <c r="N130" s="218"/>
      <c r="O130" s="49">
        <f t="shared" si="22"/>
        <v>29600</v>
      </c>
      <c r="P130" s="49">
        <f t="shared" si="23"/>
        <v>0</v>
      </c>
      <c r="Q130" s="203">
        <f t="shared" si="21"/>
        <v>0</v>
      </c>
    </row>
    <row r="131" spans="2:17" x14ac:dyDescent="0.2">
      <c r="B131" s="72">
        <f t="shared" si="20"/>
        <v>122</v>
      </c>
      <c r="C131" s="4"/>
      <c r="D131" s="4"/>
      <c r="E131" s="4"/>
      <c r="F131" s="82" t="s">
        <v>188</v>
      </c>
      <c r="G131" s="83">
        <v>717</v>
      </c>
      <c r="H131" s="83" t="s">
        <v>193</v>
      </c>
      <c r="I131" s="84"/>
      <c r="J131" s="84"/>
      <c r="K131" s="198"/>
      <c r="L131" s="84">
        <f>L132</f>
        <v>29600</v>
      </c>
      <c r="M131" s="84">
        <f>M132</f>
        <v>0</v>
      </c>
      <c r="N131" s="218"/>
      <c r="O131" s="84">
        <f t="shared" si="22"/>
        <v>29600</v>
      </c>
      <c r="P131" s="84">
        <f t="shared" si="23"/>
        <v>0</v>
      </c>
      <c r="Q131" s="203">
        <f t="shared" si="21"/>
        <v>0</v>
      </c>
    </row>
    <row r="132" spans="2:17" x14ac:dyDescent="0.2">
      <c r="B132" s="72">
        <f t="shared" si="20"/>
        <v>123</v>
      </c>
      <c r="C132" s="4"/>
      <c r="D132" s="4"/>
      <c r="E132" s="4"/>
      <c r="F132" s="53"/>
      <c r="G132" s="4"/>
      <c r="H132" s="4" t="s">
        <v>443</v>
      </c>
      <c r="I132" s="23"/>
      <c r="J132" s="23"/>
      <c r="K132" s="198"/>
      <c r="L132" s="23">
        <f>40600-10000-1000</f>
        <v>29600</v>
      </c>
      <c r="M132" s="23"/>
      <c r="N132" s="218"/>
      <c r="O132" s="23">
        <f t="shared" si="22"/>
        <v>29600</v>
      </c>
      <c r="P132" s="23">
        <f t="shared" si="23"/>
        <v>0</v>
      </c>
      <c r="Q132" s="203">
        <f t="shared" si="21"/>
        <v>0</v>
      </c>
    </row>
  </sheetData>
  <mergeCells count="28">
    <mergeCell ref="B4:O4"/>
    <mergeCell ref="O5:O9"/>
    <mergeCell ref="B6:B9"/>
    <mergeCell ref="C6:C9"/>
    <mergeCell ref="D6:D9"/>
    <mergeCell ref="E6:E9"/>
    <mergeCell ref="F6:F9"/>
    <mergeCell ref="G6:G9"/>
    <mergeCell ref="H6:H9"/>
    <mergeCell ref="B5:N5"/>
    <mergeCell ref="D102:H102"/>
    <mergeCell ref="C10:H10"/>
    <mergeCell ref="D11:H11"/>
    <mergeCell ref="D14:H14"/>
    <mergeCell ref="D31:H31"/>
    <mergeCell ref="E32:H32"/>
    <mergeCell ref="E92:H92"/>
    <mergeCell ref="P5:P9"/>
    <mergeCell ref="Q5:Q9"/>
    <mergeCell ref="E36:H36"/>
    <mergeCell ref="E49:H49"/>
    <mergeCell ref="E71:H71"/>
    <mergeCell ref="I6:I9"/>
    <mergeCell ref="L6:L9"/>
    <mergeCell ref="J6:J9"/>
    <mergeCell ref="K6:K9"/>
    <mergeCell ref="M6:M9"/>
    <mergeCell ref="N6:N9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14</vt:i4>
      </vt:variant>
      <vt:variant>
        <vt:lpstr>Pomenované rozsahy</vt:lpstr>
      </vt:variant>
      <vt:variant>
        <vt:i4>4</vt:i4>
      </vt:variant>
    </vt:vector>
  </HeadingPairs>
  <TitlesOfParts>
    <vt:vector size="18" baseType="lpstr">
      <vt:lpstr>Príjmy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Sumarizácia</vt:lpstr>
      <vt:lpstr>'P12'!Oblasť_tlače</vt:lpstr>
      <vt:lpstr>'P8'!Oblasť_tlače</vt:lpstr>
      <vt:lpstr>Príjmy!Oblasť_tlače</vt:lpstr>
      <vt:lpstr>Sumarizácia!Oblasť_tlače</vt:lpstr>
    </vt:vector>
  </TitlesOfParts>
  <Company>Mesto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andrea.zilkova@trencin.sk</dc:creator>
  <cp:lastModifiedBy>Žilková Andrea, Ing.</cp:lastModifiedBy>
  <cp:lastPrinted>2017-02-03T08:20:15Z</cp:lastPrinted>
  <dcterms:created xsi:type="dcterms:W3CDTF">2014-05-27T11:25:41Z</dcterms:created>
  <dcterms:modified xsi:type="dcterms:W3CDTF">2017-02-17T06:36:23Z</dcterms:modified>
</cp:coreProperties>
</file>